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1.xml" ContentType="application/vnd.openxmlformats-officedocument.spreadsheetml.comments+xml"/>
  <Override PartName="/xl/threadedcomments/threadedcomment.xml" ContentType="application/vnd.ms-excel.threadedcomment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ersons/person.xml" ContentType="application/vnd.ms-excel.person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d0b82757544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b7e4696bc5294194"/>
    <x:sheet xmlns:r="http://schemas.openxmlformats.org/officeDocument/2006/relationships" name="Assumptions" sheetId="2" r:id="Reee0e420f4ca4105"/>
    <x:sheet xmlns:r="http://schemas.openxmlformats.org/officeDocument/2006/relationships" name="Development" sheetId="3" r:id="R7bb6a7f337c44c55"/>
    <x:sheet xmlns:r="http://schemas.openxmlformats.org/officeDocument/2006/relationships" name="Stabilized NOI" sheetId="4" r:id="R06f29df9b8364574"/>
    <x:sheet xmlns:r="http://schemas.openxmlformats.org/officeDocument/2006/relationships" name="Sensitivity" sheetId="5" r:id="R126bf26815ea482e"/>
    <x:sheet xmlns:r="http://schemas.openxmlformats.org/officeDocument/2006/relationships" name="Checks" sheetId="6" r:id="R386b48b0ad564c0b"/>
  </x:sheets>
</x:workbook>
</file>

<file path=xl/comments1.xml><?xml version="1.0" encoding="utf-8"?>
<x:comments xmlns:x="http://schemas.openxmlformats.org/spreadsheetml/2006/main">
  <x:authors>
    <x:author>tc={D147F27A-0BFB-5FE8-8A6F-07A42B43BB56}</x:author>
    <x:author>tc={E1EF8A0F-2C8E-2009-6348-76AEC15943CE}</x:author>
    <x:author>tc={3A4D8295-1723-81B7-5D8B-10B30EE0EBA9}</x:author>
    <x:author>tc={4B4ABEAE-CEB1-3A8C-1E5F-9290DD0F5EEA}</x:author>
    <x:author>tc={DD74A2E1-1287-F11E-77D2-E48F99E53AAD}</x:author>
    <x:author>tc={2019B015-72BD-0C97-19FF-1409A28FFCB1}</x:author>
    <x:author>tc={675B150E-D159-4A1F-2269-112458F242DC}</x:author>
    <x:author>tc={41C46738-8C5D-8825-3AF4-0025DB8E787D}</x:author>
  </x:authors>
  <x:commentList>
    <x:comment ref="B5" authorId="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Source: New Wetlands 1031 sale project, History dated 2026-08-12, and Area Memory dated 2026-08-17. EJ pinned the parcel basis at 41,363 SF.</x:t>
        </x:r>
      </x:text>
    </x:comment>
    <x:comment ref="B6" authorId="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Source: New Wetlands Area Memory and June 13, 2026 ASPR plan set. Planned building area is 17,442 SF.</x:t>
        </x:r>
      </x:text>
    </x:comment>
    <x:comment ref="B13" authorId="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Source: New Wetlands Area Memory standing underwriting ruling as read 2026-08-17: $25/SF base NNN.</x:t>
        </x:r>
      </x:text>
    </x:comment>
    <x:comment ref="B14" authorId="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Source: New Wetlands Area Memory standing underwriting ruling as read 2026-08-17: approximately $7/SF recoverables.</x:t>
        </x:r>
      </x:text>
    </x:comment>
    <x:comment ref="B18" authorId="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Source: EJ correction in this task after reviewing the first workbook: offer the parcel at a 5% capitalization rate. This controls over the earlier 6%-7% return discussion.</x:t>
        </x:r>
      </x:text>
    </x:comment>
    <x:comment ref="B23" authorId="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Source: 2026-08-17 1:03 p.m. meeting note. EJ proposed $150/SF and Pop accepted it. This later agreement supersedes the earlier $200/SF shortcut.</x:t>
        </x:r>
      </x:text>
    </x:comment>
    <x:comment ref="B24" authorId="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Source: 2026-07-29 New Wetlands Warehouse Construction Loan Package, Lender Budget. Conceptual allowance only.</x:t>
        </x:r>
      </x:text>
    </x:comment>
    <x:comment ref="B28" authorId="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Source: 2026-08-17 project task and meeting notes. Credits are either usable or buyable at roughly $250,000; modeled conservatively as a buyer cost until confirmed.</x:t>
        </x:r>
      </x:text>
    </x:comment>
  </x:commentList>
</x:comments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;[Red](#,##0);-"/>
    <x:numFmt numFmtId="201" formatCode="$0.00;[Red]($0.00);-"/>
    <x:numFmt numFmtId="202" formatCode="0.0%;[Red](0.0%);-"/>
    <x:numFmt numFmtId="203" formatCode="$#,##0;[Red]($#,##0);-"/>
  </x:numFmts>
  <x:fonts count="30">
    <x:font>
      <x:sz val="11"/>
      <x:name val="Carlito"/>
    </x:font>
    <x:font>
      <x:b/>
      <x:sz val="16"/>
      <x:color rgb="FFFFFFFF"/>
      <x:name val="Carlito"/>
    </x:font>
    <x:font>
      <x:i/>
      <x:sz val="10"/>
      <x:color rgb="FF666666"/>
      <x:name val="Carlito"/>
    </x:font>
    <x:font>
      <x:b/>
      <x:sz val="10"/>
      <x:color rgb="FFFFFFFF"/>
      <x:name val="Carlito"/>
    </x:font>
    <x:font>
      <x:sz val="11"/>
      <x:color rgb="FF0000FF"/>
      <x:name val="Carlito"/>
    </x:font>
    <x:font>
      <x:sz val="11"/>
      <x:color rgb="FF000000"/>
      <x:name val="Carlito"/>
    </x:font>
    <x:font>
      <x:sz val="9"/>
      <x:color rgb="FF666666"/>
      <x:name val="Carlito"/>
    </x:font>
    <x:font>
      <x:sz val="10"/>
      <x:color rgb="FF000000"/>
      <x:name val="Carlito"/>
    </x:font>
    <x:font>
      <x:b/>
      <x:sz val="10"/>
      <x:color rgb="FF000000"/>
      <x:name val="Carlito"/>
    </x:font>
    <x:font>
      <x:sz val="11"/>
      <x:color rgb="FF008000"/>
      <x:name val="Carlito"/>
    </x:font>
    <x:font>
      <x:b/>
      <x:sz val="11"/>
      <x:color rgb="FF000000"/>
      <x:name val="Carlito"/>
    </x:font>
    <x:font>
      <x:b/>
      <x:sz val="9"/>
      <x:color rgb="FF666666"/>
      <x:name val="Carlito"/>
    </x:font>
    <x:font>
      <x:b/>
      <x:sz val="16"/>
      <x:color rgb="FF000000"/>
      <x:name val="Carlito"/>
    </x:font>
    <x:font>
      <x:b/>
      <x:sz val="11"/>
      <x:color rgb="FFFFFFFF"/>
      <x:name val="Carlito"/>
    </x:font>
    <x:font>
      <x:b/>
      <x:sz val="12"/>
      <x:color rgb="FF000000"/>
      <x:name val="Carlito"/>
    </x:font>
    <x:font>
      <x:b/>
      <x:sz val="16"/>
      <x:color rgb="FFFFFFFF"/>
      <x:name val="Arial"/>
    </x:font>
    <x:font>
      <x:sz val="11"/>
      <x:name val="Arial"/>
    </x:font>
    <x:font>
      <x:i/>
      <x:sz val="10"/>
      <x:color rgb="FF666666"/>
      <x:name val="Arial"/>
    </x:font>
    <x:font>
      <x:b/>
      <x:sz val="10"/>
      <x:color rgb="FFFFFFFF"/>
      <x:name val="Arial"/>
    </x:font>
    <x:font>
      <x:b/>
      <x:sz val="11"/>
      <x:color rgb="FF000000"/>
      <x:name val="Arial"/>
    </x:font>
    <x:font>
      <x:b/>
      <x:sz val="16"/>
      <x:color rgb="FF000000"/>
      <x:name val="Arial"/>
    </x:font>
    <x:font>
      <x:sz val="11"/>
      <x:color rgb="FF008000"/>
      <x:name val="Arial"/>
    </x:font>
    <x:font>
      <x:sz val="11"/>
      <x:color rgb="FF000000"/>
      <x:name val="Arial"/>
    </x:font>
    <x:font>
      <x:sz val="9"/>
      <x:color rgb="FF666666"/>
      <x:name val="Arial"/>
    </x:font>
    <x:font>
      <x:sz val="10"/>
      <x:color rgb="FF000000"/>
      <x:name val="Arial"/>
    </x:font>
    <x:font>
      <x:sz val="11"/>
      <x:color rgb="FF0000FF"/>
      <x:name val="Arial"/>
    </x:font>
    <x:font>
      <x:b/>
      <x:sz val="10"/>
      <x:color rgb="FF000000"/>
      <x:name val="Arial"/>
    </x:font>
    <x:font>
      <x:b/>
      <x:sz val="9"/>
      <x:color rgb="FF666666"/>
      <x:name val="Arial"/>
    </x:font>
    <x:font>
      <x:b/>
      <x:sz val="11"/>
      <x:color rgb="FFFFFFFF"/>
      <x:name val="Arial"/>
    </x:font>
    <x:font>
      <x:b/>
      <x:sz val="12"/>
      <x:color rgb="FF000000"/>
      <x:name val="Arial"/>
    </x:font>
  </x:fonts>
  <x:fills count="8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1F4E78"/>
      </x:patternFill>
    </x:fill>
    <x:fill>
      <x:patternFill patternType="solid">
        <x:fgColor rgb="FFFFF2CC"/>
      </x:patternFill>
    </x:fill>
    <x:fill>
      <x:patternFill patternType="solid">
        <x:fgColor rgb="FFD9E1F2"/>
      </x:patternFill>
    </x:fill>
    <x:fill>
      <x:patternFill patternType="solid">
        <x:fgColor rgb="FFE2F0D9"/>
      </x:patternFill>
    </x:fill>
    <x:fill>
      <x:patternFill patternType="solid">
        <x:fgColor rgb="FFFCE4D6"/>
      </x:patternFill>
    </x:fill>
  </x:fills>
  <x:borders count="14">
    <x:border/>
    <x:border>
      <x:left style="thin">
        <x:color rgb="FFBFBFBF"/>
      </x:left>
      <x:right style="thin">
        <x:color rgb="FFBFBFBF"/>
      </x:right>
      <x:top style="thin">
        <x:color rgb="FFBFBFBF"/>
      </x:top>
      <x:bottom style="thin">
        <x:color rgb="FFBFBFBF"/>
      </x:bottom>
    </x:border>
    <x:border>
      <x:bottom style="thin">
        <x:color rgb="FF000000"/>
      </x:bottom>
    </x:border>
    <x:border>
      <x:left style="medium">
        <x:color rgb="FF0F766E"/>
      </x:left>
      <x:right style="medium">
        <x:color rgb="FF0F766E"/>
      </x:right>
      <x:top style="medium">
        <x:color rgb="FF0F766E"/>
      </x:top>
      <x:bottom style="medium">
        <x:color rgb="FF0F766E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right style="thin">
        <x:color rgb="FFE7E6E6"/>
      </x:right>
      <x:bottom style="thin">
        <x:color rgb="FFE7E6E6"/>
      </x:bottom>
    </x:border>
    <x:border>
      <x:left style="thin">
        <x:color rgb="FFE7E6E6"/>
      </x:left>
      <x:right style="thin">
        <x:color rgb="FFE7E6E6"/>
      </x:right>
      <x:bottom style="thin">
        <x:color rgb="FFE7E6E6"/>
      </x:bottom>
    </x:border>
    <x:border>
      <x:left style="thin">
        <x:color rgb="FFE7E6E6"/>
      </x:left>
      <x:bottom style="thin">
        <x:color rgb="FFE7E6E6"/>
      </x:bottom>
    </x:border>
    <x:border>
      <x:right style="thin">
        <x:color rgb="FFE7E6E6"/>
      </x:right>
      <x:top style="thin">
        <x:color rgb="FFE7E6E6"/>
      </x:top>
      <x:bottom style="thin">
        <x:color rgb="FFE7E6E6"/>
      </x:bottom>
    </x:border>
    <x:border>
      <x:left style="thin">
        <x:color rgb="FFE7E6E6"/>
      </x:left>
      <x:right style="thin">
        <x:color rgb="FFE7E6E6"/>
      </x:right>
      <x:top style="thin">
        <x:color rgb="FFE7E6E6"/>
      </x:top>
      <x:bottom style="thin">
        <x:color rgb="FFE7E6E6"/>
      </x:bottom>
    </x:border>
    <x:border>
      <x:left style="thin">
        <x:color rgb="FFE7E6E6"/>
      </x:left>
      <x:top style="thin">
        <x:color rgb="FFE7E6E6"/>
      </x:top>
      <x:bottom style="thin">
        <x:color rgb="FFE7E6E6"/>
      </x:bottom>
    </x:border>
    <x:border>
      <x:right style="thin">
        <x:color rgb="FFE7E6E6"/>
      </x:right>
      <x:top style="thin">
        <x:color rgb="FFE7E6E6"/>
      </x:top>
    </x:border>
    <x:border>
      <x:left style="thin">
        <x:color rgb="FFE7E6E6"/>
      </x:left>
      <x:right style="thin">
        <x:color rgb="FFE7E6E6"/>
      </x:right>
      <x:top style="thin">
        <x:color rgb="FFE7E6E6"/>
      </x:top>
    </x:border>
    <x:border>
      <x:left style="thin">
        <x:color rgb="FFE7E6E6"/>
      </x:left>
      <x:top style="thin">
        <x:color rgb="FFE7E6E6"/>
      </x:top>
    </x:border>
  </x:borders>
  <x:cellStyleXfs count="1">
    <x:xf numFmtId="0" fontId="0" fillId="0" borderId="0"/>
  </x:cellStyleXfs>
  <x:cellXfs count="24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left"/>
    </x:xf>
    <x:xf numFmtId="0" fontId="3" fillId="3" borderId="0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horizontal="right"/>
    </x:xf>
    <x:xf numFmtId="200" fontId="4" fillId="4" borderId="1" xfId="0" applyNumberFormat="1" applyFont="1" applyFill="1" applyBorder="1" applyAlignment="1">
      <x:alignment horizontal="right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horizontal="right"/>
    </x:xf>
    <x:xf numFmtId="200" fontId="5" fillId="0" borderId="0" xfId="0" applyNumberFormat="1" applyFont="1" applyFill="1" applyBorder="1" applyAlignment="1">
      <x:alignment horizontal="right"/>
    </x:xf>
    <x:xf numFmtId="201" fontId="4" fillId="4" borderId="1" xfId="0" applyNumberFormat="1" applyFont="1" applyFill="1" applyBorder="1" applyAlignment="1">
      <x:alignment horizontal="right"/>
    </x:xf>
    <x:xf numFmtId="202" fontId="4" fillId="4" borderId="1" xfId="0" applyNumberFormat="1" applyFont="1" applyFill="1" applyBorder="1" applyAlignment="1">
      <x:alignment horizontal="right"/>
    </x:xf>
    <x:xf numFmtId="203" fontId="4" fillId="4" borderId="1" xfId="0" applyNumberFormat="1" applyFont="1" applyFill="1" applyBorder="1" applyAlignment="1">
      <x:alignment horizontal="right"/>
    </x:xf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/>
    <x:xf numFmtId="0" fontId="8" fillId="3" borderId="0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200" fontId="4" fillId="4" borderId="1" xfId="0" applyNumberFormat="1" applyFont="1" applyFill="1" applyBorder="1" applyAlignment="1">
      <x:alignment horizontal="right" vertical="center"/>
    </x:xf>
    <x:xf numFmtId="0" fontId="6" fillId="0" borderId="0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horizontal="right" vertical="center"/>
    </x:xf>
    <x:xf numFmtId="0" fontId="4" fillId="4" borderId="1" xfId="0" applyNumberFormat="1" applyFont="1" applyFill="1" applyBorder="1" applyAlignment="1">
      <x:alignment horizontal="right" vertical="center"/>
    </x:xf>
    <x:xf numFmtId="201" fontId="4" fillId="4" borderId="1" xfId="0" applyNumberFormat="1" applyFont="1" applyFill="1" applyBorder="1" applyAlignment="1">
      <x:alignment horizontal="right" vertical="center"/>
    </x:xf>
    <x:xf numFmtId="202" fontId="4" fillId="4" borderId="1" xfId="0" applyNumberFormat="1" applyFont="1" applyFill="1" applyBorder="1" applyAlignment="1">
      <x:alignment horizontal="right" vertical="center"/>
    </x:xf>
    <x:xf numFmtId="203" fontId="4" fillId="4" borderId="1" xfId="0" applyNumberFormat="1" applyFont="1" applyFill="1" applyBorder="1" applyAlignment="1">
      <x:alignment horizontal="right" vertical="center"/>
    </x:xf>
    <x:xf numFmtId="0" fontId="6" fillId="0" borderId="0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/>
    <x:xf numFmtId="0" fontId="9" fillId="0" borderId="0" xfId="0" applyNumberFormat="1" applyFont="1" applyFill="1" applyBorder="1" applyAlignment="1">
      <x:alignment horizontal="right"/>
    </x:xf>
    <x:xf numFmtId="201" fontId="9" fillId="0" borderId="0" xfId="0" applyNumberFormat="1" applyFont="1" applyFill="1" applyBorder="1" applyAlignment="1">
      <x:alignment horizontal="right"/>
    </x:xf>
    <x:xf numFmtId="203" fontId="9" fillId="0" borderId="0" xfId="0" applyNumberFormat="1" applyFont="1" applyFill="1" applyBorder="1" applyAlignment="1">
      <x:alignment horizontal="right"/>
    </x:xf>
    <x:xf numFmtId="203" fontId="5" fillId="0" borderId="0" xfId="0" applyNumberFormat="1" applyFont="1" applyFill="1" applyBorder="1" applyAlignment="1">
      <x:alignment horizontal="right"/>
    </x:xf>
    <x:xf numFmtId="0" fontId="0" fillId="5" borderId="0" xfId="0" applyNumberFormat="1" applyFont="1" applyFill="1" applyBorder="1"/>
    <x:xf numFmtId="203" fontId="5" fillId="5" borderId="0" xfId="0" applyNumberFormat="1" applyFont="1" applyFill="1" applyBorder="1" applyAlignment="1">
      <x:alignment horizontal="right"/>
    </x:xf>
    <x:xf numFmtId="0" fontId="10" fillId="5" borderId="0" xfId="0" applyNumberFormat="1" applyFont="1" applyFill="1" applyBorder="1"/>
    <x:xf numFmtId="203" fontId="10" fillId="5" borderId="0" xfId="0" applyNumberFormat="1" applyFont="1" applyFill="1" applyBorder="1" applyAlignment="1">
      <x:alignment horizontal="right"/>
    </x:xf>
    <x:xf numFmtId="0" fontId="10" fillId="5" borderId="2" xfId="0" applyNumberFormat="1" applyFont="1" applyFill="1" applyBorder="1"/>
    <x:xf numFmtId="203" fontId="10" fillId="5" borderId="2" xfId="0" applyNumberFormat="1" applyFont="1" applyFill="1" applyBorder="1" applyAlignment="1">
      <x:alignment horizontal="right"/>
    </x:xf>
    <x:xf numFmtId="0" fontId="5" fillId="6" borderId="0" xfId="0" applyNumberFormat="1" applyFont="1" applyFill="1" applyBorder="1" applyAlignment="1">
      <x:alignment horizontal="right"/>
    </x:xf>
    <x:xf numFmtId="203" fontId="5" fillId="6" borderId="0" xfId="0" applyNumberFormat="1" applyFont="1" applyFill="1" applyBorder="1" applyAlignment="1">
      <x:alignment horizontal="right"/>
    </x:xf>
    <x:xf numFmtId="202" fontId="5" fillId="0" borderId="0" xfId="0" applyNumberFormat="1" applyFont="1" applyFill="1" applyBorder="1" applyAlignment="1">
      <x:alignment horizontal="right"/>
    </x:xf>
    <x:xf numFmtId="0" fontId="10" fillId="0" borderId="0" xfId="0" applyNumberFormat="1" applyFont="1" applyFill="1" applyBorder="1"/>
    <x:xf numFmtId="203" fontId="10" fillId="6" borderId="0" xfId="0" applyNumberFormat="1" applyFont="1" applyFill="1" applyBorder="1" applyAlignment="1">
      <x:alignment horizontal="right"/>
    </x:xf>
    <x:xf numFmtId="201" fontId="9" fillId="0" borderId="0" xfId="0" applyNumberFormat="1" applyFont="1" applyFill="1" applyBorder="1" applyAlignment="1">
      <x:alignment horizontal="right" vertical="center"/>
    </x:xf>
    <x:xf numFmtId="203" fontId="9" fillId="0" borderId="0" xfId="0" applyNumberFormat="1" applyFont="1" applyFill="1" applyBorder="1" applyAlignment="1">
      <x:alignment horizontal="right" vertical="center"/>
    </x:xf>
    <x:xf numFmtId="203" fontId="5" fillId="0" borderId="0" xfId="0" applyNumberFormat="1" applyFont="1" applyFill="1" applyBorder="1" applyAlignment="1">
      <x:alignment horizontal="right" vertical="center"/>
    </x:xf>
    <x:xf numFmtId="0" fontId="10" fillId="5" borderId="2" xfId="0" applyNumberFormat="1" applyFont="1" applyFill="1" applyBorder="1" applyAlignment="1">
      <x:alignment vertical="center"/>
    </x:xf>
    <x:xf numFmtId="203" fontId="10" fillId="5" borderId="2" xfId="0" applyNumberFormat="1" applyFont="1" applyFill="1" applyBorder="1" applyAlignment="1">
      <x:alignment horizontal="right" vertical="center"/>
    </x:xf>
    <x:xf numFmtId="0" fontId="10" fillId="0" borderId="0" xfId="0" applyNumberFormat="1" applyFont="1" applyFill="1" applyBorder="1" applyAlignment="1">
      <x:alignment vertical="center"/>
    </x:xf>
    <x:xf numFmtId="203" fontId="10" fillId="6" borderId="0" xfId="0" applyNumberFormat="1" applyFont="1" applyFill="1" applyBorder="1" applyAlignment="1">
      <x:alignment horizontal="right" vertical="center"/>
    </x:xf>
    <x:xf numFmtId="202" fontId="5" fillId="0" borderId="0" xfId="0" applyNumberFormat="1" applyFont="1" applyFill="1" applyBorder="1" applyAlignment="1">
      <x:alignment horizontal="right" vertical="center"/>
    </x:xf>
    <x:xf numFmtId="0" fontId="0" fillId="0" borderId="0" xfId="0" applyNumberFormat="1" applyFont="1" applyFill="1" applyBorder="1"/>
    <x:xf numFmtId="0" fontId="0" fillId="0" borderId="2" xfId="0" applyNumberFormat="1" applyFont="1" applyFill="1" applyBorder="1"/>
    <x:xf numFmtId="203" fontId="5" fillId="0" borderId="2" xfId="0" applyNumberFormat="1" applyFont="1" applyFill="1" applyBorder="1" applyAlignment="1">
      <x:alignment horizontal="right"/>
    </x:xf>
    <x:xf numFmtId="0" fontId="0" fillId="5" borderId="2" xfId="0" applyNumberFormat="1" applyFont="1" applyFill="1" applyBorder="1"/>
    <x:xf numFmtId="203" fontId="5" fillId="5" borderId="2" xfId="0" applyNumberFormat="1" applyFont="1" applyFill="1" applyBorder="1" applyAlignment="1">
      <x:alignment horizontal="right"/>
    </x:xf>
    <x:xf numFmtId="202" fontId="5" fillId="6" borderId="0" xfId="0" applyNumberFormat="1" applyFont="1" applyFill="1" applyBorder="1" applyAlignment="1">
      <x:alignment horizontal="right"/>
    </x:xf>
    <x:xf numFmtId="200" fontId="9" fillId="0" borderId="0" xfId="0" applyNumberFormat="1" applyFont="1" applyFill="1" applyBorder="1" applyAlignment="1">
      <x:alignment horizontal="right"/>
    </x:xf>
    <x:xf numFmtId="201" fontId="10" fillId="0" borderId="0" xfId="0" applyNumberFormat="1" applyFont="1" applyFill="1" applyBorder="1" applyAlignment="1">
      <x:alignment horizontal="right"/>
    </x:xf>
    <x:xf numFmtId="203" fontId="10" fillId="0" borderId="0" xfId="0" applyNumberFormat="1" applyFont="1" applyFill="1" applyBorder="1" applyAlignment="1">
      <x:alignment horizontal="right"/>
    </x:xf>
    <x:xf numFmtId="202" fontId="10" fillId="6" borderId="0" xfId="0" applyNumberFormat="1" applyFont="1" applyFill="1" applyBorder="1" applyAlignment="1">
      <x:alignment horizontal="right"/>
    </x:xf>
    <x:xf numFmtId="200" fontId="10" fillId="0" borderId="0" xfId="0" applyNumberFormat="1" applyFont="1" applyFill="1" applyBorder="1" applyAlignment="1">
      <x:alignment horizontal="right"/>
    </x:xf>
    <x:xf numFmtId="0" fontId="11" fillId="5" borderId="0" xfId="0" applyNumberFormat="1" applyFont="1" applyFill="1" applyBorder="1"/>
    <x:xf numFmtId="0" fontId="11" fillId="5" borderId="0" xfId="0" applyNumberFormat="1" applyFont="1" applyFill="1" applyBorder="1" applyAlignment="1">
      <x:alignment wrapText="1"/>
    </x:xf>
    <x:xf numFmtId="201" fontId="10" fillId="0" borderId="0" xfId="0" applyNumberFormat="1" applyFont="1" applyFill="1" applyBorder="1" applyAlignment="1">
      <x:alignment horizontal="right" vertical="center"/>
    </x:xf>
    <x:xf numFmtId="203" fontId="10" fillId="0" borderId="0" xfId="0" applyNumberFormat="1" applyFont="1" applyFill="1" applyBorder="1" applyAlignment="1">
      <x:alignment horizontal="right" vertical="center"/>
    </x:xf>
    <x:xf numFmtId="202" fontId="10" fillId="6" borderId="0" xfId="0" applyNumberFormat="1" applyFont="1" applyFill="1" applyBorder="1" applyAlignment="1">
      <x:alignment horizontal="right" vertical="center"/>
    </x:xf>
    <x:xf numFmtId="200" fontId="10" fillId="0" borderId="0" xfId="0" applyNumberFormat="1" applyFont="1" applyFill="1" applyBorder="1" applyAlignment="1">
      <x:alignment horizontal="right" vertical="center"/>
    </x:xf>
    <x:xf numFmtId="0" fontId="10" fillId="5" borderId="0" xfId="0" applyNumberFormat="1" applyFont="1" applyFill="1" applyBorder="1" applyAlignment="1">
      <x:alignment vertical="center"/>
    </x:xf>
    <x:xf numFmtId="0" fontId="11" fillId="5" borderId="0" xfId="0" applyNumberFormat="1" applyFont="1" applyFill="1" applyBorder="1" applyAlignment="1">
      <x:alignment vertical="center" wrapText="1"/>
    </x:xf>
    <x:xf numFmtId="200" fontId="9" fillId="0" borderId="0" xfId="0" applyNumberFormat="1" applyFont="1" applyFill="1" applyBorder="1" applyAlignment="1">
      <x:alignment horizontal="right" vertical="center"/>
    </x:xf>
    <x:xf numFmtId="0" fontId="9" fillId="6" borderId="0" xfId="0" applyNumberFormat="1" applyFont="1" applyFill="1" applyBorder="1" applyAlignment="1">
      <x:alignment horizontal="right"/>
    </x:xf>
    <x:xf numFmtId="203" fontId="9" fillId="6" borderId="0" xfId="0" applyNumberFormat="1" applyFont="1" applyFill="1" applyBorder="1" applyAlignment="1">
      <x:alignment horizontal="right"/>
    </x:xf>
    <x:xf numFmtId="202" fontId="9" fillId="0" borderId="0" xfId="0" applyNumberFormat="1" applyFont="1" applyFill="1" applyBorder="1" applyAlignment="1">
      <x:alignment horizontal="right"/>
    </x:xf>
    <x:xf numFmtId="202" fontId="10" fillId="0" borderId="0" xfId="0" applyNumberFormat="1" applyFont="1" applyFill="1" applyBorder="1" applyAlignment="1">
      <x:alignment horizontal="right"/>
    </x:xf>
    <x:xf numFmtId="203" fontId="12" fillId="6" borderId="0" xfId="0" applyNumberFormat="1" applyFont="1" applyFill="1" applyBorder="1" applyAlignment="1">
      <x:alignment horizontal="right"/>
    </x:xf>
    <x:xf numFmtId="203" fontId="12" fillId="6" borderId="3" xfId="0" applyNumberFormat="1" applyFont="1" applyFill="1" applyBorder="1" applyAlignment="1">
      <x:alignment horizontal="right"/>
    </x:xf>
    <x:xf numFmtId="202" fontId="9" fillId="6" borderId="0" xfId="0" applyNumberFormat="1" applyFont="1" applyFill="1" applyBorder="1" applyAlignment="1">
      <x:alignment horizontal="right"/>
    </x:xf>
    <x:xf numFmtId="0" fontId="9" fillId="7" borderId="0" xfId="0" applyNumberFormat="1" applyFont="1" applyFill="1" applyBorder="1" applyAlignment="1">
      <x:alignment horizontal="right"/>
    </x:xf>
    <x:xf numFmtId="202" fontId="9" fillId="7" borderId="0" xfId="0" applyNumberFormat="1" applyFont="1" applyFill="1" applyBorder="1" applyAlignment="1">
      <x:alignment horizontal="right"/>
    </x:xf>
    <x:xf numFmtId="0" fontId="10" fillId="5" borderId="0" xfId="0" applyNumberFormat="1" applyFont="1" applyFill="1" applyBorder="1" applyAlignment="1">
      <x:alignment horizontal="right"/>
    </x:xf>
    <x:xf numFmtId="202" fontId="10" fillId="5" borderId="0" xfId="0" applyNumberFormat="1" applyFont="1" applyFill="1" applyBorder="1" applyAlignment="1">
      <x:alignment horizontal="right"/>
    </x:xf>
    <x:xf numFmtId="201" fontId="0" fillId="0" borderId="0" xfId="0" applyNumberFormat="1" applyFont="1" applyFill="1" applyBorder="1"/>
    <x:xf numFmtId="201" fontId="0" fillId="6" borderId="0" xfId="0" applyNumberFormat="1" applyFont="1" applyFill="1" applyBorder="1"/>
    <x:xf numFmtId="201" fontId="0" fillId="0" borderId="4" xfId="0" applyNumberFormat="1" applyFont="1" applyFill="1" applyBorder="1"/>
    <x:xf numFmtId="203" fontId="9" fillId="0" borderId="4" xfId="0" applyNumberFormat="1" applyFont="1" applyFill="1" applyBorder="1" applyAlignment="1">
      <x:alignment horizontal="right"/>
    </x:xf>
    <x:xf numFmtId="201" fontId="0" fillId="6" borderId="4" xfId="0" applyNumberFormat="1" applyFont="1" applyFill="1" applyBorder="1"/>
    <x:xf numFmtId="203" fontId="9" fillId="6" borderId="4" xfId="0" applyNumberFormat="1" applyFont="1" applyFill="1" applyBorder="1" applyAlignment="1">
      <x:alignment horizontal="right"/>
    </x:xf>
    <x:xf numFmtId="0" fontId="13" fillId="3" borderId="0" xfId="0" applyNumberFormat="1" applyFont="1" applyFill="1" applyBorder="1"/>
    <x:xf numFmtId="0" fontId="13" fillId="3" borderId="0" xfId="0" applyNumberFormat="1" applyFont="1" applyFill="1" applyBorder="1" applyAlignment="1">
      <x:alignment horizontal="center"/>
    </x:xf>
    <x:xf numFmtId="201" fontId="5" fillId="0" borderId="0" xfId="0" applyNumberFormat="1" applyFont="1" applyFill="1" applyBorder="1" applyAlignment="1">
      <x:alignment horizontal="right"/>
    </x:xf>
    <x:xf numFmtId="0" fontId="14" fillId="6" borderId="0" xfId="0" applyNumberFormat="1" applyFont="1" applyFill="1" applyBorder="1" applyAlignment="1">
      <x:alignment horizontal="right"/>
    </x:xf>
    <x:xf numFmtId="0" fontId="0" fillId="0" borderId="5" xfId="0" applyNumberFormat="1" applyFont="1" applyFill="1" applyBorder="1"/>
    <x:xf numFmtId="200" fontId="9" fillId="0" borderId="6" xfId="0" applyNumberFormat="1" applyFont="1" applyFill="1" applyBorder="1" applyAlignment="1">
      <x:alignment horizontal="right"/>
    </x:xf>
    <x:xf numFmtId="200" fontId="5" fillId="0" borderId="6" xfId="0" applyNumberFormat="1" applyFont="1" applyFill="1" applyBorder="1" applyAlignment="1">
      <x:alignment horizontal="right"/>
    </x:xf>
    <x:xf numFmtId="0" fontId="0" fillId="0" borderId="6" xfId="0" applyNumberFormat="1" applyFont="1" applyFill="1" applyBorder="1"/>
    <x:xf numFmtId="0" fontId="5" fillId="0" borderId="6" xfId="0" applyNumberFormat="1" applyFont="1" applyFill="1" applyBorder="1" applyAlignment="1">
      <x:alignment horizontal="right"/>
    </x:xf>
    <x:xf numFmtId="0" fontId="6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/>
    <x:xf numFmtId="203" fontId="9" fillId="0" borderId="9" xfId="0" applyNumberFormat="1" applyFont="1" applyFill="1" applyBorder="1" applyAlignment="1">
      <x:alignment horizontal="right"/>
    </x:xf>
    <x:xf numFmtId="203" fontId="5" fillId="0" borderId="9" xfId="0" applyNumberFormat="1" applyFont="1" applyFill="1" applyBorder="1" applyAlignment="1">
      <x:alignment horizontal="right"/>
    </x:xf>
    <x:xf numFmtId="0" fontId="0" fillId="0" borderId="9" xfId="0" applyNumberFormat="1" applyFont="1" applyFill="1" applyBorder="1"/>
    <x:xf numFmtId="0" fontId="5" fillId="0" borderId="9" xfId="0" applyNumberFormat="1" applyFont="1" applyFill="1" applyBorder="1" applyAlignment="1">
      <x:alignment horizontal="right"/>
    </x:xf>
    <x:xf numFmtId="0" fontId="6" fillId="0" borderId="10" xfId="0" applyNumberFormat="1" applyFont="1" applyFill="1" applyBorder="1" applyAlignment="1">
      <x:alignment wrapText="1"/>
    </x:xf>
    <x:xf numFmtId="202" fontId="9" fillId="0" borderId="9" xfId="0" applyNumberFormat="1" applyFont="1" applyFill="1" applyBorder="1" applyAlignment="1">
      <x:alignment horizontal="right"/>
    </x:xf>
    <x:xf numFmtId="202" fontId="5" fillId="0" borderId="9" xfId="0" applyNumberFormat="1" applyFont="1" applyFill="1" applyBorder="1" applyAlignment="1">
      <x:alignment horizontal="right"/>
    </x:xf>
    <x:xf numFmtId="201" fontId="9" fillId="0" borderId="9" xfId="0" applyNumberFormat="1" applyFont="1" applyFill="1" applyBorder="1" applyAlignment="1">
      <x:alignment horizontal="right"/>
    </x:xf>
    <x:xf numFmtId="201" fontId="5" fillId="0" borderId="9" xfId="0" applyNumberFormat="1" applyFont="1" applyFill="1" applyBorder="1" applyAlignment="1">
      <x:alignment horizontal="right"/>
    </x:xf>
    <x:xf numFmtId="200" fontId="9" fillId="0" borderId="9" xfId="0" applyNumberFormat="1" applyFont="1" applyFill="1" applyBorder="1" applyAlignment="1">
      <x:alignment horizontal="right"/>
    </x:xf>
    <x:xf numFmtId="200" fontId="5" fillId="0" borderId="9" xfId="0" applyNumberFormat="1" applyFont="1" applyFill="1" applyBorder="1" applyAlignment="1">
      <x:alignment horizontal="right"/>
    </x:xf>
    <x:xf numFmtId="0" fontId="0" fillId="0" borderId="11" xfId="0" applyNumberFormat="1" applyFont="1" applyFill="1" applyBorder="1"/>
    <x:xf numFmtId="200" fontId="9" fillId="0" borderId="12" xfId="0" applyNumberFormat="1" applyFont="1" applyFill="1" applyBorder="1" applyAlignment="1">
      <x:alignment horizontal="right"/>
    </x:xf>
    <x:xf numFmtId="0" fontId="0" fillId="0" borderId="12" xfId="0" applyNumberFormat="1" applyFont="1" applyFill="1" applyBorder="1"/>
    <x:xf numFmtId="200" fontId="5" fillId="0" borderId="12" xfId="0" applyNumberFormat="1" applyFont="1" applyFill="1" applyBorder="1" applyAlignment="1">
      <x:alignment horizontal="right"/>
    </x:xf>
    <x:xf numFmtId="0" fontId="5" fillId="0" borderId="12" xfId="0" applyNumberFormat="1" applyFont="1" applyFill="1" applyBorder="1" applyAlignment="1">
      <x:alignment horizontal="right"/>
    </x:xf>
    <x:xf numFmtId="0" fontId="6" fillId="0" borderId="13" xfId="0" applyNumberFormat="1" applyFont="1" applyFill="1" applyBorder="1" applyAlignment="1">
      <x:alignment wrapText="1"/>
    </x:xf>
    <x:xf numFmtId="0" fontId="15" fillId="2" borderId="0" xfId="0" applyNumberFormat="1" applyFont="1" applyFill="1" applyBorder="1" applyAlignment="1">
      <x:alignment horizontal="left" vertical="center"/>
    </x:xf>
    <x:xf numFmtId="0" fontId="16" fillId="0" borderId="0" xfId="0" applyNumberFormat="1" applyFont="1" applyFill="1" applyBorder="1"/>
    <x:xf numFmtId="0" fontId="17" fillId="0" borderId="0" xfId="0" applyNumberFormat="1" applyFont="1" applyFill="1" applyBorder="1" applyAlignment="1">
      <x:alignment vertical="center"/>
    </x:xf>
    <x:xf numFmtId="0" fontId="18" fillId="3" borderId="0" xfId="0" applyNumberFormat="1" applyFont="1" applyFill="1" applyBorder="1" applyAlignment="1">
      <x:alignment horizontal="left" vertical="center"/>
    </x:xf>
    <x:xf numFmtId="0" fontId="19" fillId="0" borderId="0" xfId="0" applyNumberFormat="1" applyFont="1" applyFill="1" applyBorder="1"/>
    <x:xf numFmtId="203" fontId="19" fillId="6" borderId="0" xfId="0" applyNumberFormat="1" applyFont="1" applyFill="1" applyBorder="1" applyAlignment="1">
      <x:alignment horizontal="right"/>
    </x:xf>
    <x:xf numFmtId="203" fontId="20" fillId="6" borderId="3" xfId="0" applyNumberFormat="1" applyFont="1" applyFill="1" applyBorder="1" applyAlignment="1">
      <x:alignment horizontal="right"/>
    </x:xf>
    <x:xf numFmtId="203" fontId="19" fillId="0" borderId="0" xfId="0" applyNumberFormat="1" applyFont="1" applyFill="1" applyBorder="1" applyAlignment="1">
      <x:alignment horizontal="right"/>
    </x:xf>
    <x:xf numFmtId="202" fontId="19" fillId="0" borderId="0" xfId="0" applyNumberFormat="1" applyFont="1" applyFill="1" applyBorder="1" applyAlignment="1">
      <x:alignment horizontal="right"/>
    </x:xf>
    <x:xf numFmtId="200" fontId="21" fillId="0" borderId="0" xfId="0" applyNumberFormat="1" applyFont="1" applyFill="1" applyBorder="1" applyAlignment="1">
      <x:alignment horizontal="right"/>
    </x:xf>
    <x:xf numFmtId="201" fontId="21" fillId="0" borderId="0" xfId="0" applyNumberFormat="1" applyFont="1" applyFill="1" applyBorder="1" applyAlignment="1">
      <x:alignment horizontal="right"/>
    </x:xf>
    <x:xf numFmtId="202" fontId="19" fillId="6" borderId="0" xfId="0" applyNumberFormat="1" applyFont="1" applyFill="1" applyBorder="1" applyAlignment="1">
      <x:alignment horizontal="right"/>
    </x:xf>
    <x:xf numFmtId="203" fontId="21" fillId="6" borderId="0" xfId="0" applyNumberFormat="1" applyFont="1" applyFill="1" applyBorder="1" applyAlignment="1">
      <x:alignment horizontal="right"/>
    </x:xf>
    <x:xf numFmtId="203" fontId="22" fillId="0" borderId="0" xfId="0" applyNumberFormat="1" applyFont="1" applyFill="1" applyBorder="1" applyAlignment="1">
      <x:alignment horizontal="right"/>
    </x:xf>
    <x:xf numFmtId="203" fontId="21" fillId="0" borderId="0" xfId="0" applyNumberFormat="1" applyFont="1" applyFill="1" applyBorder="1" applyAlignment="1">
      <x:alignment horizontal="right"/>
    </x:xf>
    <x:xf numFmtId="202" fontId="21" fillId="6" borderId="0" xfId="0" applyNumberFormat="1" applyFont="1" applyFill="1" applyBorder="1" applyAlignment="1">
      <x:alignment horizontal="right"/>
    </x:xf>
    <x:xf numFmtId="202" fontId="21" fillId="7" borderId="0" xfId="0" applyNumberFormat="1" applyFont="1" applyFill="1" applyBorder="1" applyAlignment="1">
      <x:alignment horizontal="right"/>
    </x:xf>
    <x:xf numFmtId="0" fontId="23" fillId="0" borderId="0" xfId="0" applyNumberFormat="1" applyFont="1" applyFill="1" applyBorder="1" applyAlignment="1">
      <x:alignment vertical="center" wrapText="1"/>
    </x:xf>
    <x:xf numFmtId="0" fontId="16" fillId="0" borderId="0" xfId="0" applyNumberFormat="1" applyFont="1" applyFill="1" applyBorder="1" applyAlignment="1">
      <x:alignment vertical="center"/>
    </x:xf>
    <x:xf numFmtId="0" fontId="19" fillId="0" borderId="0" xfId="0" applyNumberFormat="1" applyFont="1" applyFill="1" applyBorder="1" applyAlignment="1">
      <x:alignment vertical="center"/>
    </x:xf>
    <x:xf numFmtId="203" fontId="19" fillId="6" borderId="0" xfId="0" applyNumberFormat="1" applyFont="1" applyFill="1" applyBorder="1" applyAlignment="1">
      <x:alignment horizontal="right" vertical="center"/>
    </x:xf>
    <x:xf numFmtId="203" fontId="20" fillId="6" borderId="3" xfId="0" applyNumberFormat="1" applyFont="1" applyFill="1" applyBorder="1" applyAlignment="1">
      <x:alignment horizontal="right" vertical="center"/>
    </x:xf>
    <x:xf numFmtId="203" fontId="19" fillId="0" borderId="0" xfId="0" applyNumberFormat="1" applyFont="1" applyFill="1" applyBorder="1" applyAlignment="1">
      <x:alignment horizontal="right" vertical="center"/>
    </x:xf>
    <x:xf numFmtId="202" fontId="19" fillId="0" borderId="0" xfId="0" applyNumberFormat="1" applyFont="1" applyFill="1" applyBorder="1" applyAlignment="1">
      <x:alignment horizontal="right" vertical="center"/>
    </x:xf>
    <x:xf numFmtId="200" fontId="21" fillId="0" borderId="0" xfId="0" applyNumberFormat="1" applyFont="1" applyFill="1" applyBorder="1" applyAlignment="1">
      <x:alignment horizontal="right" vertical="center"/>
    </x:xf>
    <x:xf numFmtId="201" fontId="21" fillId="0" borderId="0" xfId="0" applyNumberFormat="1" applyFont="1" applyFill="1" applyBorder="1" applyAlignment="1">
      <x:alignment horizontal="right" vertical="center"/>
    </x:xf>
    <x:xf numFmtId="202" fontId="19" fillId="6" borderId="0" xfId="0" applyNumberFormat="1" applyFont="1" applyFill="1" applyBorder="1" applyAlignment="1">
      <x:alignment horizontal="right" vertical="center"/>
    </x:xf>
    <x:xf numFmtId="203" fontId="21" fillId="6" borderId="0" xfId="0" applyNumberFormat="1" applyFont="1" applyFill="1" applyBorder="1" applyAlignment="1">
      <x:alignment horizontal="right" vertical="center"/>
    </x:xf>
    <x:xf numFmtId="203" fontId="22" fillId="0" borderId="0" xfId="0" applyNumberFormat="1" applyFont="1" applyFill="1" applyBorder="1" applyAlignment="1">
      <x:alignment horizontal="right" vertical="center"/>
    </x:xf>
    <x:xf numFmtId="203" fontId="21" fillId="0" borderId="0" xfId="0" applyNumberFormat="1" applyFont="1" applyFill="1" applyBorder="1" applyAlignment="1">
      <x:alignment horizontal="right" vertical="center"/>
    </x:xf>
    <x:xf numFmtId="202" fontId="21" fillId="6" borderId="0" xfId="0" applyNumberFormat="1" applyFont="1" applyFill="1" applyBorder="1" applyAlignment="1">
      <x:alignment horizontal="right" vertical="center"/>
    </x:xf>
    <x:xf numFmtId="202" fontId="21" fillId="7" borderId="0" xfId="0" applyNumberFormat="1" applyFont="1" applyFill="1" applyBorder="1" applyAlignment="1">
      <x:alignment horizontal="right" vertical="center"/>
    </x:xf>
    <x:xf numFmtId="0" fontId="24" fillId="0" borderId="0" xfId="0" applyNumberFormat="1" applyFont="1" applyFill="1" applyBorder="1" applyAlignment="1">
      <x:alignment vertical="center"/>
    </x:xf>
    <x:xf numFmtId="200" fontId="25" fillId="4" borderId="1" xfId="0" applyNumberFormat="1" applyFont="1" applyFill="1" applyBorder="1" applyAlignment="1">
      <x:alignment horizontal="right" vertical="center"/>
    </x:xf>
    <x:xf numFmtId="0" fontId="23" fillId="0" borderId="0" xfId="0" applyNumberFormat="1" applyFont="1" applyFill="1" applyBorder="1" applyAlignment="1">
      <x:alignment vertical="center"/>
    </x:xf>
    <x:xf numFmtId="0" fontId="16" fillId="0" borderId="0" xfId="0" applyNumberFormat="1" applyFont="1" applyFill="1" applyBorder="1" applyAlignment="1">
      <x:alignment vertical="center" wrapText="1"/>
    </x:xf>
    <x:xf numFmtId="200" fontId="22" fillId="0" borderId="0" xfId="0" applyNumberFormat="1" applyFont="1" applyFill="1" applyBorder="1" applyAlignment="1">
      <x:alignment horizontal="right" vertical="center"/>
    </x:xf>
    <x:xf numFmtId="0" fontId="25" fillId="4" borderId="1" xfId="0" applyNumberFormat="1" applyFont="1" applyFill="1" applyBorder="1" applyAlignment="1">
      <x:alignment horizontal="right" vertical="center"/>
    </x:xf>
    <x:xf numFmtId="0" fontId="26" fillId="3" borderId="0" xfId="0" applyNumberFormat="1" applyFont="1" applyFill="1" applyBorder="1" applyAlignment="1">
      <x:alignment horizontal="left" vertical="center"/>
    </x:xf>
    <x:xf numFmtId="201" fontId="25" fillId="4" borderId="1" xfId="0" applyNumberFormat="1" applyFont="1" applyFill="1" applyBorder="1" applyAlignment="1">
      <x:alignment horizontal="right" vertical="center"/>
    </x:xf>
    <x:xf numFmtId="202" fontId="25" fillId="4" borderId="1" xfId="0" applyNumberFormat="1" applyFont="1" applyFill="1" applyBorder="1" applyAlignment="1">
      <x:alignment horizontal="right" vertical="center"/>
    </x:xf>
    <x:xf numFmtId="203" fontId="25" fillId="4" borderId="1" xfId="0" applyNumberFormat="1" applyFont="1" applyFill="1" applyBorder="1" applyAlignment="1">
      <x:alignment horizontal="right" vertical="center"/>
    </x:xf>
    <x:xf numFmtId="0" fontId="19" fillId="5" borderId="2" xfId="0" applyNumberFormat="1" applyFont="1" applyFill="1" applyBorder="1" applyAlignment="1">
      <x:alignment vertical="center"/>
    </x:xf>
    <x:xf numFmtId="203" fontId="19" fillId="5" borderId="2" xfId="0" applyNumberFormat="1" applyFont="1" applyFill="1" applyBorder="1" applyAlignment="1">
      <x:alignment horizontal="right" vertical="center"/>
    </x:xf>
    <x:xf numFmtId="201" fontId="19" fillId="0" borderId="0" xfId="0" applyNumberFormat="1" applyFont="1" applyFill="1" applyBorder="1" applyAlignment="1">
      <x:alignment horizontal="right" vertical="center"/>
    </x:xf>
    <x:xf numFmtId="200" fontId="19" fillId="0" borderId="0" xfId="0" applyNumberFormat="1" applyFont="1" applyFill="1" applyBorder="1" applyAlignment="1">
      <x:alignment horizontal="right" vertical="center"/>
    </x:xf>
    <x:xf numFmtId="0" fontId="19" fillId="5" borderId="0" xfId="0" applyNumberFormat="1" applyFont="1" applyFill="1" applyBorder="1" applyAlignment="1">
      <x:alignment vertical="center"/>
    </x:xf>
    <x:xf numFmtId="0" fontId="27" fillId="5" borderId="0" xfId="0" applyNumberFormat="1" applyFont="1" applyFill="1" applyBorder="1" applyAlignment="1">
      <x:alignment vertical="center" wrapText="1"/>
    </x:xf>
    <x:xf numFmtId="202" fontId="22" fillId="0" borderId="0" xfId="0" applyNumberFormat="1" applyFont="1" applyFill="1" applyBorder="1" applyAlignment="1">
      <x:alignment horizontal="right" vertical="center"/>
    </x:xf>
    <x:xf numFmtId="0" fontId="19" fillId="5" borderId="0" xfId="0" applyNumberFormat="1" applyFont="1" applyFill="1" applyBorder="1" applyAlignment="1">
      <x:alignment horizontal="right"/>
    </x:xf>
    <x:xf numFmtId="202" fontId="19" fillId="5" borderId="0" xfId="0" applyNumberFormat="1" applyFont="1" applyFill="1" applyBorder="1" applyAlignment="1">
      <x:alignment horizontal="right"/>
    </x:xf>
    <x:xf numFmtId="201" fontId="16" fillId="0" borderId="4" xfId="0" applyNumberFormat="1" applyFont="1" applyFill="1" applyBorder="1"/>
    <x:xf numFmtId="203" fontId="21" fillId="0" borderId="4" xfId="0" applyNumberFormat="1" applyFont="1" applyFill="1" applyBorder="1" applyAlignment="1">
      <x:alignment horizontal="right"/>
    </x:xf>
    <x:xf numFmtId="201" fontId="16" fillId="6" borderId="4" xfId="0" applyNumberFormat="1" applyFont="1" applyFill="1" applyBorder="1"/>
    <x:xf numFmtId="203" fontId="21" fillId="6" borderId="4" xfId="0" applyNumberFormat="1" applyFont="1" applyFill="1" applyBorder="1" applyAlignment="1">
      <x:alignment horizontal="right"/>
    </x:xf>
    <x:xf numFmtId="0" fontId="23" fillId="0" borderId="0" xfId="0" applyNumberFormat="1" applyFont="1" applyFill="1" applyBorder="1" applyAlignment="1">
      <x:alignment wrapText="1"/>
    </x:xf>
    <x:xf numFmtId="0" fontId="19" fillId="5" borderId="0" xfId="0" applyNumberFormat="1" applyFont="1" applyFill="1" applyBorder="1" applyAlignment="1">
      <x:alignment horizontal="right" vertical="center"/>
    </x:xf>
    <x:xf numFmtId="202" fontId="19" fillId="5" borderId="0" xfId="0" applyNumberFormat="1" applyFont="1" applyFill="1" applyBorder="1" applyAlignment="1">
      <x:alignment horizontal="right" vertical="center"/>
    </x:xf>
    <x:xf numFmtId="201" fontId="16" fillId="0" borderId="4" xfId="0" applyNumberFormat="1" applyFont="1" applyFill="1" applyBorder="1" applyAlignment="1">
      <x:alignment vertical="center"/>
    </x:xf>
    <x:xf numFmtId="203" fontId="21" fillId="0" borderId="4" xfId="0" applyNumberFormat="1" applyFont="1" applyFill="1" applyBorder="1" applyAlignment="1">
      <x:alignment horizontal="right" vertical="center"/>
    </x:xf>
    <x:xf numFmtId="201" fontId="16" fillId="6" borderId="4" xfId="0" applyNumberFormat="1" applyFont="1" applyFill="1" applyBorder="1" applyAlignment="1">
      <x:alignment vertical="center"/>
    </x:xf>
    <x:xf numFmtId="203" fontId="21" fillId="6" borderId="4" xfId="0" applyNumberFormat="1" applyFont="1" applyFill="1" applyBorder="1" applyAlignment="1">
      <x:alignment horizontal="right" vertical="center"/>
    </x:xf>
    <x:xf numFmtId="0" fontId="28" fillId="3" borderId="0" xfId="0" applyNumberFormat="1" applyFont="1" applyFill="1" applyBorder="1" applyAlignment="1">
      <x:alignment horizontal="center"/>
    </x:xf>
    <x:xf numFmtId="0" fontId="16" fillId="0" borderId="5" xfId="0" applyNumberFormat="1" applyFont="1" applyFill="1" applyBorder="1"/>
    <x:xf numFmtId="200" fontId="21" fillId="0" borderId="6" xfId="0" applyNumberFormat="1" applyFont="1" applyFill="1" applyBorder="1" applyAlignment="1">
      <x:alignment horizontal="right"/>
    </x:xf>
    <x:xf numFmtId="200" fontId="22" fillId="0" borderId="6" xfId="0" applyNumberFormat="1" applyFont="1" applyFill="1" applyBorder="1" applyAlignment="1">
      <x:alignment horizontal="right"/>
    </x:xf>
    <x:xf numFmtId="0" fontId="16" fillId="0" borderId="6" xfId="0" applyNumberFormat="1" applyFont="1" applyFill="1" applyBorder="1"/>
    <x:xf numFmtId="0" fontId="22" fillId="0" borderId="6" xfId="0" applyNumberFormat="1" applyFont="1" applyFill="1" applyBorder="1" applyAlignment="1">
      <x:alignment horizontal="right"/>
    </x:xf>
    <x:xf numFmtId="0" fontId="23" fillId="0" borderId="7" xfId="0" applyNumberFormat="1" applyFont="1" applyFill="1" applyBorder="1" applyAlignment="1">
      <x:alignment wrapText="1"/>
    </x:xf>
    <x:xf numFmtId="0" fontId="16" fillId="0" borderId="8" xfId="0" applyNumberFormat="1" applyFont="1" applyFill="1" applyBorder="1"/>
    <x:xf numFmtId="203" fontId="21" fillId="0" borderId="9" xfId="0" applyNumberFormat="1" applyFont="1" applyFill="1" applyBorder="1" applyAlignment="1">
      <x:alignment horizontal="right"/>
    </x:xf>
    <x:xf numFmtId="203" fontId="22" fillId="0" borderId="9" xfId="0" applyNumberFormat="1" applyFont="1" applyFill="1" applyBorder="1" applyAlignment="1">
      <x:alignment horizontal="right"/>
    </x:xf>
    <x:xf numFmtId="0" fontId="16" fillId="0" borderId="9" xfId="0" applyNumberFormat="1" applyFont="1" applyFill="1" applyBorder="1"/>
    <x:xf numFmtId="0" fontId="22" fillId="0" borderId="9" xfId="0" applyNumberFormat="1" applyFont="1" applyFill="1" applyBorder="1" applyAlignment="1">
      <x:alignment horizontal="right"/>
    </x:xf>
    <x:xf numFmtId="0" fontId="23" fillId="0" borderId="10" xfId="0" applyNumberFormat="1" applyFont="1" applyFill="1" applyBorder="1" applyAlignment="1">
      <x:alignment wrapText="1"/>
    </x:xf>
    <x:xf numFmtId="202" fontId="21" fillId="0" borderId="9" xfId="0" applyNumberFormat="1" applyFont="1" applyFill="1" applyBorder="1" applyAlignment="1">
      <x:alignment horizontal="right"/>
    </x:xf>
    <x:xf numFmtId="202" fontId="22" fillId="0" borderId="9" xfId="0" applyNumberFormat="1" applyFont="1" applyFill="1" applyBorder="1" applyAlignment="1">
      <x:alignment horizontal="right"/>
    </x:xf>
    <x:xf numFmtId="201" fontId="21" fillId="0" borderId="9" xfId="0" applyNumberFormat="1" applyFont="1" applyFill="1" applyBorder="1" applyAlignment="1">
      <x:alignment horizontal="right"/>
    </x:xf>
    <x:xf numFmtId="201" fontId="22" fillId="0" borderId="9" xfId="0" applyNumberFormat="1" applyFont="1" applyFill="1" applyBorder="1" applyAlignment="1">
      <x:alignment horizontal="right"/>
    </x:xf>
    <x:xf numFmtId="200" fontId="21" fillId="0" borderId="9" xfId="0" applyNumberFormat="1" applyFont="1" applyFill="1" applyBorder="1" applyAlignment="1">
      <x:alignment horizontal="right"/>
    </x:xf>
    <x:xf numFmtId="200" fontId="22" fillId="0" borderId="9" xfId="0" applyNumberFormat="1" applyFont="1" applyFill="1" applyBorder="1" applyAlignment="1">
      <x:alignment horizontal="right"/>
    </x:xf>
    <x:xf numFmtId="0" fontId="16" fillId="0" borderId="11" xfId="0" applyNumberFormat="1" applyFont="1" applyFill="1" applyBorder="1"/>
    <x:xf numFmtId="200" fontId="21" fillId="0" borderId="12" xfId="0" applyNumberFormat="1" applyFont="1" applyFill="1" applyBorder="1" applyAlignment="1">
      <x:alignment horizontal="right"/>
    </x:xf>
    <x:xf numFmtId="0" fontId="16" fillId="0" borderId="12" xfId="0" applyNumberFormat="1" applyFont="1" applyFill="1" applyBorder="1"/>
    <x:xf numFmtId="200" fontId="22" fillId="0" borderId="12" xfId="0" applyNumberFormat="1" applyFont="1" applyFill="1" applyBorder="1" applyAlignment="1">
      <x:alignment horizontal="right"/>
    </x:xf>
    <x:xf numFmtId="0" fontId="22" fillId="0" borderId="12" xfId="0" applyNumberFormat="1" applyFont="1" applyFill="1" applyBorder="1" applyAlignment="1">
      <x:alignment horizontal="right"/>
    </x:xf>
    <x:xf numFmtId="0" fontId="23" fillId="0" borderId="13" xfId="0" applyNumberFormat="1" applyFont="1" applyFill="1" applyBorder="1" applyAlignment="1">
      <x:alignment wrapText="1"/>
    </x:xf>
    <x:xf numFmtId="0" fontId="29" fillId="6" borderId="0" xfId="0" applyNumberFormat="1" applyFont="1" applyFill="1" applyBorder="1" applyAlignment="1">
      <x:alignment horizontal="right"/>
    </x:xf>
    <x:xf numFmtId="0" fontId="28" fillId="3" borderId="0" xfId="0" applyNumberFormat="1" applyFont="1" applyFill="1" applyBorder="1" applyAlignment="1">
      <x:alignment horizontal="center" vertical="center"/>
    </x:xf>
    <x:xf numFmtId="0" fontId="16" fillId="0" borderId="5" xfId="0" applyNumberFormat="1" applyFont="1" applyFill="1" applyBorder="1" applyAlignment="1">
      <x:alignment vertical="center"/>
    </x:xf>
    <x:xf numFmtId="200" fontId="21" fillId="0" borderId="6" xfId="0" applyNumberFormat="1" applyFont="1" applyFill="1" applyBorder="1" applyAlignment="1">
      <x:alignment horizontal="right" vertical="center"/>
    </x:xf>
    <x:xf numFmtId="200" fontId="22" fillId="0" borderId="6" xfId="0" applyNumberFormat="1" applyFont="1" applyFill="1" applyBorder="1" applyAlignment="1">
      <x:alignment horizontal="right" vertical="center"/>
    </x:xf>
    <x:xf numFmtId="0" fontId="16" fillId="0" borderId="6" xfId="0" applyNumberFormat="1" applyFont="1" applyFill="1" applyBorder="1" applyAlignment="1">
      <x:alignment vertical="center"/>
    </x:xf>
    <x:xf numFmtId="0" fontId="22" fillId="0" borderId="6" xfId="0" applyNumberFormat="1" applyFont="1" applyFill="1" applyBorder="1" applyAlignment="1">
      <x:alignment horizontal="right" vertical="center"/>
    </x:xf>
    <x:xf numFmtId="0" fontId="23" fillId="0" borderId="7" xfId="0" applyNumberFormat="1" applyFont="1" applyFill="1" applyBorder="1" applyAlignment="1">
      <x:alignment vertical="center" wrapText="1"/>
    </x:xf>
    <x:xf numFmtId="0" fontId="16" fillId="0" borderId="8" xfId="0" applyNumberFormat="1" applyFont="1" applyFill="1" applyBorder="1" applyAlignment="1">
      <x:alignment vertical="center"/>
    </x:xf>
    <x:xf numFmtId="203" fontId="21" fillId="0" borderId="9" xfId="0" applyNumberFormat="1" applyFont="1" applyFill="1" applyBorder="1" applyAlignment="1">
      <x:alignment horizontal="right" vertical="center"/>
    </x:xf>
    <x:xf numFmtId="203" fontId="22" fillId="0" borderId="9" xfId="0" applyNumberFormat="1" applyFont="1" applyFill="1" applyBorder="1" applyAlignment="1">
      <x:alignment horizontal="right" vertical="center"/>
    </x:xf>
    <x:xf numFmtId="0" fontId="16" fillId="0" borderId="9" xfId="0" applyNumberFormat="1" applyFont="1" applyFill="1" applyBorder="1" applyAlignment="1">
      <x:alignment vertical="center"/>
    </x:xf>
    <x:xf numFmtId="0" fontId="22" fillId="0" borderId="9" xfId="0" applyNumberFormat="1" applyFont="1" applyFill="1" applyBorder="1" applyAlignment="1">
      <x:alignment horizontal="right" vertical="center"/>
    </x:xf>
    <x:xf numFmtId="0" fontId="23" fillId="0" borderId="10" xfId="0" applyNumberFormat="1" applyFont="1" applyFill="1" applyBorder="1" applyAlignment="1">
      <x:alignment vertical="center" wrapText="1"/>
    </x:xf>
    <x:xf numFmtId="202" fontId="21" fillId="0" borderId="9" xfId="0" applyNumberFormat="1" applyFont="1" applyFill="1" applyBorder="1" applyAlignment="1">
      <x:alignment horizontal="right" vertical="center"/>
    </x:xf>
    <x:xf numFmtId="202" fontId="22" fillId="0" borderId="9" xfId="0" applyNumberFormat="1" applyFont="1" applyFill="1" applyBorder="1" applyAlignment="1">
      <x:alignment horizontal="right" vertical="center"/>
    </x:xf>
    <x:xf numFmtId="201" fontId="21" fillId="0" borderId="9" xfId="0" applyNumberFormat="1" applyFont="1" applyFill="1" applyBorder="1" applyAlignment="1">
      <x:alignment horizontal="right" vertical="center"/>
    </x:xf>
    <x:xf numFmtId="201" fontId="22" fillId="0" borderId="9" xfId="0" applyNumberFormat="1" applyFont="1" applyFill="1" applyBorder="1" applyAlignment="1">
      <x:alignment horizontal="right" vertical="center"/>
    </x:xf>
    <x:xf numFmtId="200" fontId="21" fillId="0" borderId="9" xfId="0" applyNumberFormat="1" applyFont="1" applyFill="1" applyBorder="1" applyAlignment="1">
      <x:alignment horizontal="right" vertical="center"/>
    </x:xf>
    <x:xf numFmtId="200" fontId="22" fillId="0" borderId="9" xfId="0" applyNumberFormat="1" applyFont="1" applyFill="1" applyBorder="1" applyAlignment="1">
      <x:alignment horizontal="right" vertical="center"/>
    </x:xf>
    <x:xf numFmtId="0" fontId="16" fillId="0" borderId="11" xfId="0" applyNumberFormat="1" applyFont="1" applyFill="1" applyBorder="1" applyAlignment="1">
      <x:alignment vertical="center"/>
    </x:xf>
    <x:xf numFmtId="200" fontId="21" fillId="0" borderId="12" xfId="0" applyNumberFormat="1" applyFont="1" applyFill="1" applyBorder="1" applyAlignment="1">
      <x:alignment horizontal="right" vertical="center"/>
    </x:xf>
    <x:xf numFmtId="0" fontId="16" fillId="0" borderId="12" xfId="0" applyNumberFormat="1" applyFont="1" applyFill="1" applyBorder="1" applyAlignment="1">
      <x:alignment vertical="center"/>
    </x:xf>
    <x:xf numFmtId="200" fontId="22" fillId="0" borderId="12" xfId="0" applyNumberFormat="1" applyFont="1" applyFill="1" applyBorder="1" applyAlignment="1">
      <x:alignment horizontal="right" vertical="center"/>
    </x:xf>
    <x:xf numFmtId="0" fontId="22" fillId="0" borderId="12" xfId="0" applyNumberFormat="1" applyFont="1" applyFill="1" applyBorder="1" applyAlignment="1">
      <x:alignment horizontal="right" vertical="center"/>
    </x:xf>
    <x:xf numFmtId="0" fontId="23" fillId="0" borderId="13" xfId="0" applyNumberFormat="1" applyFont="1" applyFill="1" applyBorder="1" applyAlignment="1">
      <x:alignment vertical="center" wrapText="1"/>
    </x:xf>
    <x:xf numFmtId="0" fontId="29" fillId="6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  <x:dxfs count="2">
    <x:dxf>
      <x:font>
        <x:b/>
        <x:color rgb="FF006100"/>
      </x:font>
      <x:fill>
        <x:patternFill patternType="solid">
          <x:bgColor rgb="FFE2F0D9"/>
        </x:patternFill>
      </x:fill>
    </x:dxf>
    <x:dxf>
      <x:font>
        <x:b/>
        <x:color rgb="FF9C0006"/>
      </x:font>
      <x:fill>
        <x:patternFill patternType="solid">
          <x:bgColor rgb="FFFCE4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6361d8689746fd" /><Relationship Type="http://schemas.openxmlformats.org/officeDocument/2006/relationships/theme" Target="/xl/theme/theme1.xml" Id="Rb34bc846c1af4930" /><Relationship Type="http://schemas.openxmlformats.org/officeDocument/2006/relationships/sharedStrings" Target="/xl/sharedStrings.xml" Id="R8cd42737305748da" /><Relationship Type="http://schemas.openxmlformats.org/officeDocument/2006/relationships/worksheet" Target="/xl/worksheets/sheet1.xml" Id="Rb7e4696bc5294194" /><Relationship Type="http://schemas.openxmlformats.org/officeDocument/2006/relationships/worksheet" Target="/xl/worksheets/sheet2.xml" Id="Reee0e420f4ca4105" /><Relationship Type="http://schemas.openxmlformats.org/officeDocument/2006/relationships/worksheet" Target="/xl/worksheets/sheet3.xml" Id="R7bb6a7f337c44c55" /><Relationship Type="http://schemas.openxmlformats.org/officeDocument/2006/relationships/worksheet" Target="/xl/worksheets/sheet4.xml" Id="R06f29df9b8364574" /><Relationship Type="http://schemas.openxmlformats.org/officeDocument/2006/relationships/worksheet" Target="/xl/worksheets/sheet5.xml" Id="R126bf26815ea482e" /><Relationship Type="http://schemas.openxmlformats.org/officeDocument/2006/relationships/worksheet" Target="/xl/worksheets/sheet6.xml" Id="R386b48b0ad564c0b" /><Relationship Type="http://schemas.microsoft.com/office/2017/10/relationships/person" Target="/xl/persons/person.xml" Id="Raef910c65b1743d3" /></Relationships>
</file>

<file path=xl/persons/person.xml><?xml version="1.0" encoding="utf-8"?>
<xltc:personList xmlns:xltc="http://schemas.microsoft.com/office/spreadsheetml/2018/threadedcomments">
  <xltc:person displayName="Eduardo J. Rodriguez" id="{CEAEB1E6-3F1F-441C-B333-97C5C77FF7DB}"/>
</xltc:personList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threadedcomments/threadedcomment.xml><?xml version="1.0" encoding="utf-8"?>
<xltc:ThreadedComments xmlns:xltc="http://schemas.microsoft.com/office/spreadsheetml/2018/threadedcomments">
  <xltc:threadedComment ref="B5" dT="2026-08-17T18:31:34.719" personId="{CEAEB1E6-3F1F-441C-B333-97C5C77FF7DB}" id="{D147F27A-0BFB-5FE8-8A6F-07A42B43BB56}">
    <xltc:text>Source: New Wetlands 1031 sale project, History dated 2026-08-12, and Area Memory dated 2026-08-17. EJ pinned the parcel basis at 41,363 SF.</xltc:text>
  </xltc:threadedComment>
  <xltc:threadedComment ref="B6" dT="2026-08-17T18:31:34.72" personId="{CEAEB1E6-3F1F-441C-B333-97C5C77FF7DB}" id="{E1EF8A0F-2C8E-2009-6348-76AEC15943CE}">
    <xltc:text>Source: New Wetlands Area Memory and June 13, 2026 ASPR plan set. Planned building area is 17,442 SF.</xltc:text>
  </xltc:threadedComment>
  <xltc:threadedComment ref="B13" dT="2026-08-17T18:31:34.721" personId="{CEAEB1E6-3F1F-441C-B333-97C5C77FF7DB}" id="{3A4D8295-1723-81B7-5D8B-10B30EE0EBA9}">
    <xltc:text>Source: New Wetlands Area Memory standing underwriting ruling as read 2026-08-17: $25/SF base NNN.</xltc:text>
  </xltc:threadedComment>
  <xltc:threadedComment ref="B14" dT="2026-08-17T18:31:34.721" personId="{CEAEB1E6-3F1F-441C-B333-97C5C77FF7DB}" id="{4B4ABEAE-CEB1-3A8C-1E5F-9290DD0F5EEA}">
    <xltc:text>Source: New Wetlands Area Memory standing underwriting ruling as read 2026-08-17: approximately $7/SF recoverables.</xltc:text>
  </xltc:threadedComment>
  <xltc:threadedComment ref="B18" dT="2026-08-17T18:31:34.721" personId="{CEAEB1E6-3F1F-441C-B333-97C5C77FF7DB}" id="{DD74A2E1-1287-F11E-77D2-E48F99E53AAD}">
    <xltc:text>Source: EJ correction in this task after reviewing the first workbook: offer the parcel at a 5% capitalization rate. This controls over the earlier 6%-7% return discussion.</xltc:text>
  </xltc:threadedComment>
  <xltc:threadedComment ref="B23" dT="2026-08-17T18:31:34.721" personId="{CEAEB1E6-3F1F-441C-B333-97C5C77FF7DB}" id="{2019B015-72BD-0C97-19FF-1409A28FFCB1}">
    <xltc:text>Source: 2026-08-17 1:03 p.m. meeting note. EJ proposed $150/SF and Pop accepted it. This later agreement supersedes the earlier $200/SF shortcut.</xltc:text>
  </xltc:threadedComment>
  <xltc:threadedComment ref="B24" dT="2026-08-17T18:31:34.721" personId="{CEAEB1E6-3F1F-441C-B333-97C5C77FF7DB}" id="{675B150E-D159-4A1F-2269-112458F242DC}">
    <xltc:text>Source: 2026-07-29 New Wetlands Warehouse Construction Loan Package, Lender Budget. Conceptual allowance only.</xltc:text>
  </xltc:threadedComment>
  <xltc:threadedComment ref="B28" dT="2026-08-17T18:31:34.721" personId="{CEAEB1E6-3F1F-441C-B333-97C5C77FF7DB}" id="{41C46738-8C5D-8825-3AF4-0025DB8E787D}">
    <xltc:text>Source: 2026-08-17 project task and meeting notes. Credits are either usable or buyable at roughly $250,000; modeled conservatively as a buyer cost until confirmed.</xltc:text>
  </xltc:threadedComment>
</xltc:ThreadedComments>
</file>

<file path=xl/worksheets/_rels/sheet2.xml.rels>&#65279;<?xml version="1.0" encoding="utf-8"?><Relationships xmlns="http://schemas.openxmlformats.org/package/2006/relationships"><Relationship Type="http://schemas.openxmlformats.org/officeDocument/2006/relationships/comments" Target="/xl/comments1.xml" Id="Rf2a079601bef429c" /><Relationship Type="http://schemas.openxmlformats.org/officeDocument/2006/relationships/vmlDrawing" Target="/xl/drawings/vmldrawing.vml" Id="Rf6156e3b79c34462" /><Relationship Type="http://schemas.microsoft.com/office/2017/10/relationships/threadedComment" Target="/xl/threadedcomments/threadedcomment.xml" Id="Rfdd2e1793c5d45bf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6.11000061035156" hidden="0" customWidth="1"/>
    <x:col min="2" max="2" width="18.329999923706055" hidden="0" customWidth="1"/>
    <x:col min="3" max="3" width="13.890000343322754" hidden="0" customWidth="1"/>
    <x:col min="4" max="4" width="25" hidden="0" customWidth="1"/>
    <x:col min="5" max="5" width="20.559999465942383" hidden="0" customWidth="1"/>
    <x:col min="6" max="6" width="23.329999923706055" hidden="0" customWidth="1"/>
  </x:cols>
  <x:sheetData>
    <x:row r="1" ht="25.5" customHeight="1">
      <x:c r="A1" s="127" t="str">
        <x:v>New Wetlands Sale Pro Forma</x:v>
      </x:c>
      <x:c r="B1" s="145"/>
      <x:c r="C1" s="145"/>
      <x:c r="D1" s="145"/>
      <x:c r="E1" s="145"/>
      <x:c r="F1" s="145"/>
    </x:row>
    <x:row r="2" ht="18" customHeight="1">
      <x:c r="A2" s="129" t="str">
        <x:v>Supported parcel asking price from stabilized NOI capitalized at 5% after the 24-month development period</x:v>
      </x:c>
      <x:c r="B2" s="145"/>
      <x:c r="C2" s="145"/>
      <x:c r="D2" s="145"/>
      <x:c r="E2" s="145"/>
      <x:c r="F2" s="145"/>
    </x:row>
    <x:row r="3">
      <x:c r="A3" s="145"/>
      <x:c r="B3" s="145"/>
      <x:c r="C3" s="145"/>
      <x:c r="D3" s="145"/>
      <x:c r="E3" s="145"/>
      <x:c r="F3" s="145"/>
    </x:row>
    <x:row r="4" ht="16.5" customHeight="1">
      <x:c r="A4" s="130" t="str">
        <x:v>ASKING PRICE CONCLUSION</x:v>
      </x:c>
      <x:c r="B4" s="145"/>
      <x:c r="C4" s="145"/>
      <x:c r="D4" s="145"/>
      <x:c r="E4" s="145"/>
      <x:c r="F4" s="145"/>
    </x:row>
    <x:row r="5">
      <x:c r="A5" s="146" t="str">
        <x:v>Exact supported land price at 5.0% cap</x:v>
      </x:c>
      <x:c r="B5" s="147" t="n">
        <x:f>('Stabilized NOI'!B21/'Assumptions'!B18-'Development'!B17)/(1+'Assumptions'!B32)</x:f>
        <x:v>4229410.944240197</x:v>
      </x:c>
      <x:c r="C5" s="145" t="str">
        <x:v>Residual after buyer development and acquisition costs</x:v>
      </x:c>
      <x:c r="D5" s="145"/>
      <x:c r="E5" s="145"/>
      <x:c r="F5" s="145"/>
    </x:row>
    <x:row r="6">
      <x:c r="A6" s="146" t="str">
        <x:v>Recommended rounded asking price</x:v>
      </x:c>
      <x:c r="B6" s="148" t="n">
        <x:f>INT(B5/100000)*100000</x:f>
        <x:v>4200000</x:v>
      </x:c>
      <x:c r="C6" s="145" t="str">
        <x:v>Rounded down from exact 5% residual support</x:v>
      </x:c>
      <x:c r="D6" s="145"/>
      <x:c r="E6" s="145"/>
      <x:c r="F6" s="145"/>
    </x:row>
    <x:row r="7">
      <x:c r="A7" s="146" t="str">
        <x:v>Supported land price at 4.75% cap</x:v>
      </x:c>
      <x:c r="B7" s="149" t="n">
        <x:f>('Stabilized NOI'!B21/'Assumptions'!B19-'Development'!B17)/(1+'Assumptions'!B32)</x:f>
        <x:v>4632394.944240197</x:v>
      </x:c>
      <x:c r="C7" s="145" t="str">
        <x:v>Lower cap sensitivity</x:v>
      </x:c>
      <x:c r="D7" s="145"/>
      <x:c r="E7" s="145"/>
      <x:c r="F7" s="145"/>
    </x:row>
    <x:row r="8">
      <x:c r="A8" s="146" t="str">
        <x:v>Supported land price at 5.25% cap</x:v>
      </x:c>
      <x:c r="B8" s="149" t="n">
        <x:f>('Stabilized NOI'!B21/'Assumptions'!B20-'Development'!B17)/(1+'Assumptions'!B32)</x:f>
        <x:v>3864806.372811626</x:v>
      </x:c>
      <x:c r="C8" s="145" t="str">
        <x:v>Higher cap sensitivity</x:v>
      </x:c>
      <x:c r="D8" s="145"/>
      <x:c r="E8" s="145"/>
      <x:c r="F8" s="145"/>
    </x:row>
    <x:row r="9">
      <x:c r="A9" s="146" t="str">
        <x:v>Current $2.75M reference price yield</x:v>
      </x:c>
      <x:c r="B9" s="150" t="n">
        <x:f>'Stabilized NOI'!B21/('Assumptions'!B41*(1+'Assumptions'!B32)+'Development'!B17)</x:f>
        <x:v>0.061974604789047004</x:v>
      </x:c>
      <x:c r="C9" s="145" t="str">
        <x:v>Comparison only; straight-sale floor remains unresolved</x:v>
      </x:c>
      <x:c r="D9" s="145"/>
      <x:c r="E9" s="145"/>
      <x:c r="F9" s="145"/>
    </x:row>
    <x:row r="10">
      <x:c r="A10" s="145"/>
      <x:c r="B10" s="145"/>
      <x:c r="C10" s="145"/>
      <x:c r="D10" s="145"/>
      <x:c r="E10" s="145"/>
      <x:c r="F10" s="145"/>
    </x:row>
    <x:row r="11" ht="16.5" customHeight="1">
      <x:c r="A11" s="130" t="str">
        <x:v>BUYER AT THE RECOMMENDED ASK</x:v>
      </x:c>
      <x:c r="B11" s="145"/>
      <x:c r="C11" s="145"/>
      <x:c r="D11" s="145"/>
      <x:c r="E11" s="145"/>
      <x:c r="F11" s="145"/>
    </x:row>
    <x:row r="12">
      <x:c r="A12" s="145" t="str">
        <x:v>Parcel area</x:v>
      </x:c>
      <x:c r="B12" s="151" t="n">
        <x:f>'Assumptions'!B5</x:f>
        <x:v>41363</x:v>
      </x:c>
      <x:c r="C12" s="145" t="str">
        <x:v>SF</x:v>
      </x:c>
      <x:c r="D12" s="145"/>
      <x:c r="E12" s="145"/>
      <x:c r="F12" s="145"/>
    </x:row>
    <x:row r="13">
      <x:c r="A13" s="145" t="str">
        <x:v>Building area</x:v>
      </x:c>
      <x:c r="B13" s="151" t="n">
        <x:f>'Assumptions'!B6</x:f>
        <x:v>17442</x:v>
      </x:c>
      <x:c r="C13" s="145" t="str">
        <x:v>SF</x:v>
      </x:c>
      <x:c r="D13" s="145"/>
      <x:c r="E13" s="145"/>
      <x:c r="F13" s="145"/>
    </x:row>
    <x:row r="14">
      <x:c r="A14" s="145" t="str">
        <x:v>Base rent</x:v>
      </x:c>
      <x:c r="B14" s="152" t="n">
        <x:f>'Assumptions'!B13</x:f>
        <x:v>25</x:v>
      </x:c>
      <x:c r="C14" s="145" t="str">
        <x:v>$/SF NNN</x:v>
      </x:c>
      <x:c r="D14" s="145"/>
      <x:c r="E14" s="145"/>
      <x:c r="F14" s="145"/>
    </x:row>
    <x:row r="15">
      <x:c r="A15" s="145" t="str">
        <x:v>NNN recoverables</x:v>
      </x:c>
      <x:c r="B15" s="152" t="n">
        <x:f>'Assumptions'!B14</x:f>
        <x:v>7</x:v>
      </x:c>
      <x:c r="C15" s="145" t="str">
        <x:v>$/SF</x:v>
      </x:c>
      <x:c r="D15" s="145"/>
      <x:c r="E15" s="145"/>
      <x:c r="F15" s="145"/>
    </x:row>
    <x:row r="16">
      <x:c r="A16" s="146" t="str">
        <x:v>Stabilized NOI</x:v>
      </x:c>
      <x:c r="B16" s="149" t="n">
        <x:f>'Stabilized NOI'!B21</x:f>
        <x:v>390491.49600000004</x:v>
      </x:c>
      <x:c r="C16" s="145" t="str">
        <x:v>$ / year</x:v>
      </x:c>
      <x:c r="D16" s="145"/>
      <x:c r="E16" s="145"/>
      <x:c r="F16" s="145"/>
    </x:row>
    <x:row r="17">
      <x:c r="A17" s="146" t="str">
        <x:v>Total buyer basis</x:v>
      </x:c>
      <x:c r="B17" s="149" t="n">
        <x:f>'Development'!B20</x:f>
        <x:v>7779830.756875</x:v>
      </x:c>
      <x:c r="C17" s="145" t="str">
        <x:v>$</x:v>
      </x:c>
      <x:c r="D17" s="145"/>
      <x:c r="E17" s="145"/>
      <x:c r="F17" s="145"/>
    </x:row>
    <x:row r="18">
      <x:c r="A18" s="146" t="str">
        <x:v>Cap-equivalent yield on total cost</x:v>
      </x:c>
      <x:c r="B18" s="153" t="n">
        <x:f>'Development'!B23</x:f>
        <x:v>0.050192800872297196</x:v>
      </x:c>
      <x:c r="C18" s="145" t="str">
        <x:v>% at month 24</x:v>
      </x:c>
      <x:c r="D18" s="145"/>
      <x:c r="E18" s="145"/>
      <x:c r="F18" s="145"/>
    </x:row>
    <x:row r="19">
      <x:c r="A19" s="145" t="str">
        <x:v>Basis per building SF</x:v>
      </x:c>
      <x:c r="B19" s="152" t="n">
        <x:f>'Development'!B21</x:f>
        <x:v>446.0400617403394</x:v>
      </x:c>
      <x:c r="C19" s="145" t="str">
        <x:v>$/SF</x:v>
      </x:c>
      <x:c r="D19" s="145"/>
      <x:c r="E19" s="145"/>
      <x:c r="F19" s="145"/>
    </x:row>
    <x:row r="20">
      <x:c r="A20" s="145"/>
      <x:c r="B20" s="145"/>
      <x:c r="C20" s="145"/>
      <x:c r="D20" s="145"/>
      <x:c r="E20" s="145"/>
      <x:c r="F20" s="145"/>
    </x:row>
    <x:row r="21" ht="16.5" customHeight="1">
      <x:c r="A21" s="130" t="str">
        <x:v>5% CAP RECONCILIATION</x:v>
      </x:c>
      <x:c r="B21" s="145"/>
      <x:c r="C21" s="145"/>
      <x:c r="D21" s="145"/>
      <x:c r="E21" s="145"/>
      <x:c r="F21" s="145"/>
    </x:row>
    <x:row r="22">
      <x:c r="A22" s="145" t="str">
        <x:v>Stabilized value at 5.0% cap</x:v>
      </x:c>
      <x:c r="B22" s="154" t="n">
        <x:f>'Stabilized NOI'!B21/'Assumptions'!B18</x:f>
        <x:v>7809829.920000001</x:v>
      </x:c>
      <x:c r="C22" s="145" t="str">
        <x:v>Stabilized NOI divided by 5%</x:v>
      </x:c>
      <x:c r="D22" s="145"/>
      <x:c r="E22" s="145"/>
      <x:c r="F22" s="145"/>
    </x:row>
    <x:row r="23">
      <x:c r="A23" s="145" t="str">
        <x:v>Exact residual land price at 5.0% cap</x:v>
      </x:c>
      <x:c r="B23" s="155" t="n">
        <x:f>B5</x:f>
        <x:v>4229410.944240197</x:v>
      </x:c>
      <x:c r="C23" s="145" t="str">
        <x:v>Stabilized value less modeled buyer costs</x:v>
      </x:c>
      <x:c r="D23" s="145"/>
      <x:c r="E23" s="145"/>
      <x:c r="F23" s="145"/>
    </x:row>
    <x:row r="24">
      <x:c r="A24" s="145" t="str">
        <x:v>Rounded offering price</x:v>
      </x:c>
      <x:c r="B24" s="155" t="n">
        <x:f>B6</x:f>
        <x:v>4200000</x:v>
      </x:c>
      <x:c r="C24" s="145" t="str">
        <x:v>Recommended market ask</x:v>
      </x:c>
      <x:c r="D24" s="145"/>
      <x:c r="E24" s="145"/>
      <x:c r="F24" s="145"/>
    </x:row>
    <x:row r="25">
      <x:c r="A25" s="145" t="str">
        <x:v>Total buyer basis at $4.2M</x:v>
      </x:c>
      <x:c r="B25" s="156" t="n">
        <x:f>'Assumptions'!B42*(1+'Assumptions'!B32)+'Development'!B17</x:f>
        <x:v>7779830.756875</x:v>
      </x:c>
      <x:c r="C25" s="145" t="str">
        <x:v>Land, closing, development, credits, and financing</x:v>
      </x:c>
      <x:c r="D25" s="145"/>
      <x:c r="E25" s="145"/>
      <x:c r="F25" s="145"/>
    </x:row>
    <x:row r="26">
      <x:c r="A26" s="145" t="str">
        <x:v>Cap-equivalent yield at $4.2M</x:v>
      </x:c>
      <x:c r="B26" s="157" t="n">
        <x:f>'Stabilized NOI'!B21/B25</x:f>
        <x:v>0.050192800872297196</x:v>
      </x:c>
      <x:c r="C26" s="145" t="str">
        <x:v>Approximately the requested 5%</x:v>
      </x:c>
      <x:c r="D26" s="145"/>
      <x:c r="E26" s="145"/>
      <x:c r="F26" s="145"/>
    </x:row>
    <x:row r="27">
      <x:c r="A27" s="145" t="str">
        <x:v>Cap-equivalent yield at $4.5M</x:v>
      </x:c>
      <x:c r="B27" s="158" t="n">
        <x:f>'Stabilized NOI'!B21/('Assumptions'!B43*(1+'Assumptions'!B32)+'Development'!B17)</x:f>
        <x:v>0.048293305628241544</x:v>
      </x:c>
      <x:c r="C27" s="145" t="str">
        <x:v>Falls below 5%</x:v>
      </x:c>
      <x:c r="D27" s="145"/>
      <x:c r="E27" s="145"/>
      <x:c r="F27" s="145"/>
    </x:row>
    <x:row r="28">
      <x:c r="A28" s="145"/>
      <x:c r="B28" s="145"/>
      <x:c r="C28" s="145"/>
      <x:c r="D28" s="145"/>
      <x:c r="E28" s="145"/>
      <x:c r="F28" s="145"/>
    </x:row>
    <x:row r="29" ht="16.5" customHeight="1">
      <x:c r="A29" s="130" t="str">
        <x:v>MOST SENSITIVE ASSUMPTIONS</x:v>
      </x:c>
      <x:c r="B29" s="145"/>
      <x:c r="C29" s="145"/>
      <x:c r="D29" s="145"/>
      <x:c r="E29" s="145"/>
      <x:c r="F29" s="145"/>
    </x:row>
    <x:row r="30">
      <x:c r="A30" s="145" t="str">
        <x:v>Cap rate: 4.75% to 5.25%</x:v>
      </x:c>
      <x:c r="B30" s="155" t="n">
        <x:f>B7-B8</x:f>
        <x:v>767588.5714285704</x:v>
      </x:c>
      <x:c r="C30" s="145" t="str">
        <x:v>Change in supported land price</x:v>
      </x:c>
      <x:c r="D30" s="145"/>
      <x:c r="E30" s="145"/>
      <x:c r="F30" s="145"/>
    </x:row>
    <x:row r="31">
      <x:c r="A31" s="145" t="str">
        <x:v>Base rent: $22.50 to $27.50/SF</x:v>
      </x:c>
      <x:c r="B31" s="156" t="n">
        <x:f>'Sensitivity'!C9-'Sensitivity'!C7</x:f>
        <x:v>1575765.000000001</x:v>
      </x:c>
      <x:c r="C31" s="145" t="str">
        <x:v>Change at 5.0% cap</x:v>
      </x:c>
      <x:c r="D31" s="145"/>
      <x:c r="E31" s="145"/>
      <x:c r="F31" s="145"/>
    </x:row>
    <x:row r="32">
      <x:c r="A32" s="145" t="str">
        <x:v>Hard cost: $135 to $165/SF</x:v>
      </x:c>
      <x:c r="B32" s="156" t="n">
        <x:f>'Sensitivity'!C16-'Sensitivity'!C18</x:f>
        <x:v>634507.2562499992</x:v>
      </x:c>
      <x:c r="C32" s="145" t="str">
        <x:v>Change at 5.0% cap</x:v>
      </x:c>
      <x:c r="D32" s="145"/>
      <x:c r="E32" s="145"/>
      <x:c r="F32" s="145"/>
    </x:row>
    <x:row r="33">
      <x:c r="A33" s="145"/>
      <x:c r="B33" s="145"/>
      <x:c r="C33" s="145"/>
      <x:c r="D33" s="145"/>
      <x:c r="E33" s="145"/>
      <x:c r="F33" s="145"/>
    </x:row>
    <x:row r="34" ht="16.5" customHeight="1">
      <x:c r="A34" s="130" t="str">
        <x:v>PLAIN-ENGLISH DEFINITIONS AND LIMITS</x:v>
      </x:c>
      <x:c r="B34" s="145"/>
      <x:c r="C34" s="145"/>
      <x:c r="D34" s="145"/>
      <x:c r="E34" s="145"/>
      <x:c r="F34" s="145"/>
    </x:row>
    <x:row r="35" ht="21" customHeight="1">
      <x:c r="A35" s="144" t="str">
        <x:v>Cap rate = stabilized annual NOI divided by stabilized property value. At 5%, the modeled $390,491 NOI supports a completed value of about $7.81 million.</x:v>
      </x:c>
      <x:c r="B35" s="144"/>
      <x:c r="C35" s="144"/>
      <x:c r="D35" s="144"/>
      <x:c r="E35" s="144"/>
      <x:c r="F35" s="144"/>
    </x:row>
    <x:row r="36" ht="21" customHeight="1">
      <x:c r="A36" s="144" t="str">
        <x:v>NOI = collected rent and reimbursements less operating expenses, before debt service. NNN means tenants reimburse taxes, insurance, and CAM.</x:v>
      </x:c>
      <x:c r="B36" s="144"/>
      <x:c r="C36" s="144"/>
      <x:c r="D36" s="144"/>
      <x:c r="E36" s="144"/>
      <x:c r="F36" s="144"/>
    </x:row>
    <x:row r="37" ht="21" customHeight="1">
      <x:c r="A37" s="144" t="str">
        <x:v>The supported land ask is the residual: stabilized value less the buyer's acquisition, construction, soft-cost, credit, and financing basis. It is not a two-year IRR.</x:v>
      </x:c>
      <x:c r="B37" s="144"/>
      <x:c r="C37" s="144"/>
      <x:c r="D37" s="144"/>
      <x:c r="E37" s="144"/>
      <x:c r="F37" s="144"/>
    </x:row>
    <x:row r="38" ht="21" customHeight="1">
      <x:c r="A38" s="144" t="str">
        <x:v>The $250,000 credit allowance is conservative. If existing conveyed credits are confirmed usable, the 5% supported price rises by roughly the same amount.</x:v>
      </x:c>
      <x:c r="B38" s="144"/>
      <x:c r="C38" s="144"/>
      <x:c r="D38" s="144"/>
      <x:c r="E38" s="144"/>
      <x:c r="F38" s="144"/>
    </x:row>
  </x:sheetData>
  <x:mergeCells>
    <x:mergeCell ref="A1:F1"/>
    <x:mergeCell ref="A2:F2"/>
    <x:mergeCell ref="A4:F4"/>
    <x:mergeCell ref="A11:F11"/>
    <x:mergeCell ref="A21:F21"/>
    <x:mergeCell ref="A29:F29"/>
    <x:mergeCell ref="A34:F34"/>
    <x:mergeCell ref="A35:F35"/>
    <x:mergeCell ref="A36:F36"/>
    <x:mergeCell ref="A37:F37"/>
    <x:mergeCell ref="A38:F38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.670000076293945" hidden="0" customWidth="1"/>
    <x:col min="2" max="2" width="13.890000343322754" hidden="0" customWidth="1"/>
    <x:col min="3" max="3" width="12.220000267028809" hidden="0" customWidth="1"/>
    <x:col min="4" max="4" width="45.560001373291016" hidden="0" customWidth="1"/>
  </x:cols>
  <x:sheetData>
    <x:row r="1" ht="25.5" customHeight="1">
      <x:c r="A1" s="127" t="str">
        <x:v>New Wetlands Sale Pro Forma - Assumptions</x:v>
      </x:c>
      <x:c r="B1" s="145"/>
      <x:c r="C1" s="145"/>
      <x:c r="D1" s="145"/>
    </x:row>
    <x:row r="2" ht="18" customHeight="1">
      <x:c r="A2" s="129" t="str">
        <x:v>Blue-on-yellow cells are editable. All other values are formula-driven. As of August 17, 2026.</x:v>
      </x:c>
      <x:c r="B2" s="145"/>
      <x:c r="C2" s="145"/>
      <x:c r="D2" s="145"/>
    </x:row>
    <x:row r="3">
      <x:c r="A3" s="145"/>
      <x:c r="B3" s="145"/>
      <x:c r="C3" s="145"/>
      <x:c r="D3" s="145"/>
    </x:row>
    <x:row r="4" ht="16.5" customHeight="1">
      <x:c r="A4" s="130" t="str">
        <x:v>PROPERTY AND PRODUCT</x:v>
      </x:c>
      <x:c r="B4" s="145"/>
      <x:c r="C4" s="145"/>
      <x:c r="D4" s="145"/>
    </x:row>
    <x:row r="5">
      <x:c r="A5" s="159" t="str">
        <x:v>Parcel area</x:v>
      </x:c>
      <x:c r="B5" s="160" t="n">
        <x:v>41363</x:v>
      </x:c>
      <x:c r="C5" s="161" t="str">
        <x:v>SF</x:v>
      </x:c>
      <x:c r="D5" s="162" t="str">
        <x:v>Pinned by EJ on 8/12; current sale basis before Final Plat changes</x:v>
      </x:c>
    </x:row>
    <x:row r="6">
      <x:c r="A6" s="159" t="str">
        <x:v>Planned building area</x:v>
      </x:c>
      <x:c r="B6" s="160" t="n">
        <x:v>17442</x:v>
      </x:c>
      <x:c r="C6" s="161" t="str">
        <x:v>SF</x:v>
      </x:c>
      <x:c r="D6" s="162" t="str">
        <x:v>June 13 ASPR plan set; two equal units</x:v>
      </x:c>
    </x:row>
    <x:row r="7">
      <x:c r="A7" s="159" t="str">
        <x:v>Number of units</x:v>
      </x:c>
      <x:c r="B7" s="160" t="n">
        <x:v>2</x:v>
      </x:c>
      <x:c r="C7" s="161" t="str">
        <x:v>units</x:v>
      </x:c>
      <x:c r="D7" s="162" t="str">
        <x:v>Two-tenant spec/flex shell</x:v>
      </x:c>
    </x:row>
    <x:row r="8">
      <x:c r="A8" s="159" t="str">
        <x:v>SF per unit</x:v>
      </x:c>
      <x:c r="B8" s="163" t="n">
        <x:f>B6/B7</x:f>
        <x:v>8721</x:v>
      </x:c>
      <x:c r="C8" s="161" t="str">
        <x:v>SF</x:v>
      </x:c>
      <x:c r="D8" s="162" t="str">
        <x:v>Calculated</x:v>
      </x:c>
    </x:row>
    <x:row r="9">
      <x:c r="A9" s="159" t="str">
        <x:v>Lease structure</x:v>
      </x:c>
      <x:c r="B9" s="164" t="str">
        <x:v>NNN</x:v>
      </x:c>
      <x:c r="C9" s="161" t="str"/>
      <x:c r="D9" s="162" t="str">
        <x:v>NNN: tenant reimburses taxes, insurance, and CAM</x:v>
      </x:c>
    </x:row>
    <x:row r="10">
      <x:c r="A10" s="159" t="str">
        <x:v>Clear height</x:v>
      </x:c>
      <x:c r="B10" s="160" t="n">
        <x:v>28</x:v>
      </x:c>
      <x:c r="C10" s="161" t="str">
        <x:v>feet</x:v>
      </x:c>
      <x:c r="D10" s="162" t="str">
        <x:v>To bottom of joist; structural confirmation pending</x:v>
      </x:c>
    </x:row>
    <x:row r="11">
      <x:c r="A11" s="159"/>
      <x:c r="B11" s="145"/>
      <x:c r="C11" s="161"/>
      <x:c r="D11" s="162"/>
    </x:row>
    <x:row r="12" ht="16.5" customHeight="1">
      <x:c r="A12" s="165" t="str">
        <x:v>STABILIZED INCOME AND CAPITALIZATION</x:v>
      </x:c>
      <x:c r="B12" s="145"/>
      <x:c r="C12" s="161"/>
      <x:c r="D12" s="162"/>
    </x:row>
    <x:row r="13">
      <x:c r="A13" s="159" t="str">
        <x:v>Base rent</x:v>
      </x:c>
      <x:c r="B13" s="166" t="n">
        <x:v>25</x:v>
      </x:c>
      <x:c r="C13" s="161" t="str">
        <x:v>$/SF/year</x:v>
      </x:c>
      <x:c r="D13" s="162" t="str">
        <x:v>Standing underwriting ruling as of 8/17</x:v>
      </x:c>
    </x:row>
    <x:row r="14">
      <x:c r="A14" s="159" t="str">
        <x:v>NNN recoverables</x:v>
      </x:c>
      <x:c r="B14" s="166" t="n">
        <x:v>7</x:v>
      </x:c>
      <x:c r="C14" s="161" t="str">
        <x:v>$/SF/year</x:v>
      </x:c>
      <x:c r="D14" s="162" t="str">
        <x:v>Taxes + insurance + CAM; modeled as income and expense</x:v>
      </x:c>
    </x:row>
    <x:row r="15">
      <x:c r="A15" s="159" t="str">
        <x:v>Vacancy and credit loss</x:v>
      </x:c>
      <x:c r="B15" s="167" t="n">
        <x:v>0.05</x:v>
      </x:c>
      <x:c r="C15" s="161" t="str">
        <x:v>%</x:v>
      </x:c>
      <x:c r="D15" s="162" t="str">
        <x:v>Structural stabilized allowance</x:v>
      </x:c>
    </x:row>
    <x:row r="16">
      <x:c r="A16" s="159" t="str">
        <x:v>Management fee</x:v>
      </x:c>
      <x:c r="B16" s="167" t="n">
        <x:v>0.03</x:v>
      </x:c>
      <x:c r="C16" s="161" t="str">
        <x:v>% of EGI</x:v>
      </x:c>
      <x:c r="D16" s="162" t="str">
        <x:v>Non-recoverable owner cost</x:v>
      </x:c>
    </x:row>
    <x:row r="17">
      <x:c r="A17" s="159" t="str">
        <x:v>Replacement reserves</x:v>
      </x:c>
      <x:c r="B17" s="166" t="n">
        <x:v>0.1</x:v>
      </x:c>
      <x:c r="C17" s="161" t="str">
        <x:v>$/SF/year</x:v>
      </x:c>
      <x:c r="D17" s="162" t="str">
        <x:v>Non-recoverable capital reserve</x:v>
      </x:c>
    </x:row>
    <x:row r="18">
      <x:c r="A18" s="159" t="str">
        <x:v>Offering capitalization rate</x:v>
      </x:c>
      <x:c r="B18" s="167" t="n">
        <x:v>0.05</x:v>
      </x:c>
      <x:c r="C18" s="161" t="str">
        <x:v>%</x:v>
      </x:c>
      <x:c r="D18" s="162" t="str">
        <x:v>EJ correction: use 5% stabilized cap rate</x:v>
      </x:c>
    </x:row>
    <x:row r="19">
      <x:c r="A19" s="159" t="str">
        <x:v>Lower cap sensitivity</x:v>
      </x:c>
      <x:c r="B19" s="167" t="n">
        <x:v>0.0475</x:v>
      </x:c>
      <x:c r="C19" s="161" t="str">
        <x:v>%</x:v>
      </x:c>
      <x:c r="D19" s="162" t="str">
        <x:v>Supports a higher residual land price</x:v>
      </x:c>
    </x:row>
    <x:row r="20">
      <x:c r="A20" s="159" t="str">
        <x:v>Higher cap sensitivity</x:v>
      </x:c>
      <x:c r="B20" s="167" t="n">
        <x:v>0.0525</x:v>
      </x:c>
      <x:c r="C20" s="161" t="str">
        <x:v>%</x:v>
      </x:c>
      <x:c r="D20" s="162" t="str">
        <x:v>Supports a lower residual land price</x:v>
      </x:c>
    </x:row>
    <x:row r="21">
      <x:c r="A21" s="159"/>
      <x:c r="B21" s="145"/>
      <x:c r="C21" s="161"/>
      <x:c r="D21" s="162"/>
    </x:row>
    <x:row r="22" ht="16.5" customHeight="1">
      <x:c r="A22" s="165" t="str">
        <x:v>DEVELOPMENT COST AND TIMING</x:v>
      </x:c>
      <x:c r="B22" s="145"/>
      <x:c r="C22" s="161"/>
      <x:c r="D22" s="162"/>
    </x:row>
    <x:row r="23">
      <x:c r="A23" s="159" t="str">
        <x:v>Hard construction cost</x:v>
      </x:c>
      <x:c r="B23" s="166" t="n">
        <x:v>150</x:v>
      </x:c>
      <x:c r="C23" s="161" t="str">
        <x:v>$/building SF</x:v>
      </x:c>
      <x:c r="D23" s="162" t="str">
        <x:v>Later 8/17 agreement; supersedes Pop's earlier $200/SF shortcut</x:v>
      </x:c>
    </x:row>
    <x:row r="24">
      <x:c r="A24" s="159" t="str">
        <x:v>Design, engineering, and surveys</x:v>
      </x:c>
      <x:c r="B24" s="167" t="n">
        <x:v>0.07</x:v>
      </x:c>
      <x:c r="C24" s="161" t="str">
        <x:v>% of hard cost</x:v>
      </x:c>
      <x:c r="D24" s="162" t="str">
        <x:v>Current preliminary lender basis</x:v>
      </x:c>
    </x:row>
    <x:row r="25">
      <x:c r="A25" s="159" t="str">
        <x:v>Permits, testing, and builder's risk</x:v>
      </x:c>
      <x:c r="B25" s="167" t="n">
        <x:v>0.03</x:v>
      </x:c>
      <x:c r="C25" s="161" t="str">
        <x:v>% of hard cost</x:v>
      </x:c>
      <x:c r="D25" s="162" t="str">
        <x:v>Current preliminary lender basis</x:v>
      </x:c>
    </x:row>
    <x:row r="26">
      <x:c r="A26" s="159" t="str">
        <x:v>Construction contingency</x:v>
      </x:c>
      <x:c r="B26" s="167" t="n">
        <x:v>0.075</x:v>
      </x:c>
      <x:c r="C26" s="161" t="str">
        <x:v>% of hard cost</x:v>
      </x:c>
      <x:c r="D26" s="162" t="str">
        <x:v>Conceptual-stage allowance</x:v>
      </x:c>
    </x:row>
    <x:row r="27">
      <x:c r="A27" s="159" t="str">
        <x:v>Lender, legal, and closing costs</x:v>
      </x:c>
      <x:c r="B27" s="167" t="n">
        <x:v>0.015</x:v>
      </x:c>
      <x:c r="C27" s="161" t="str">
        <x:v>% of hard cost</x:v>
      </x:c>
      <x:c r="D27" s="162" t="str">
        <x:v>Construction-side allowance</x:v>
      </x:c>
    </x:row>
    <x:row r="28">
      <x:c r="A28" s="159" t="str">
        <x:v>Wetlands credit / entitlement allowance</x:v>
      </x:c>
      <x:c r="B28" s="168" t="n">
        <x:v>250000</x:v>
      </x:c>
      <x:c r="C28" s="161" t="str">
        <x:v>$</x:v>
      </x:c>
      <x:c r="D28" s="162" t="str">
        <x:v>Conservative buyer allowance; remove if conveyed credits are confirmed usable</x:v>
      </x:c>
    </x:row>
    <x:row r="29">
      <x:c r="A29" s="159" t="str">
        <x:v>Construction loan LTC</x:v>
      </x:c>
      <x:c r="B29" s="167" t="n">
        <x:v>0.7</x:v>
      </x:c>
      <x:c r="C29" s="161" t="str">
        <x:v>%</x:v>
      </x:c>
      <x:c r="D29" s="162" t="str">
        <x:v>Used only to estimate construction interest carry</x:v>
      </x:c>
    </x:row>
    <x:row r="30">
      <x:c r="A30" s="159" t="str">
        <x:v>Construction loan rate</x:v>
      </x:c>
      <x:c r="B30" s="167" t="n">
        <x:v>0.075</x:v>
      </x:c>
      <x:c r="C30" s="161" t="str">
        <x:v>%</x:v>
      </x:c>
      <x:c r="D30" s="162" t="str">
        <x:v>Placeholder pending buyer's financing</x:v>
      </x:c>
    </x:row>
    <x:row r="31">
      <x:c r="A31" s="159" t="str">
        <x:v>Construction loan term</x:v>
      </x:c>
      <x:c r="B31" s="160" t="n">
        <x:v>18</x:v>
      </x:c>
      <x:c r="C31" s="161" t="str">
        <x:v>months</x:v>
      </x:c>
      <x:c r="D31" s="162" t="str">
        <x:v>Straight-line draw; 50% average balance</x:v>
      </x:c>
    </x:row>
    <x:row r="32">
      <x:c r="A32" s="159" t="str">
        <x:v>Land acquisition closing costs</x:v>
      </x:c>
      <x:c r="B32" s="167" t="n">
        <x:v>0.02</x:v>
      </x:c>
      <x:c r="C32" s="161" t="str">
        <x:v>% of land price</x:v>
      </x:c>
      <x:c r="D32" s="162" t="str">
        <x:v>Buyer's title, legal, recording, and diligence allowance</x:v>
      </x:c>
    </x:row>
    <x:row r="33">
      <x:c r="A33" s="159" t="str">
        <x:v>Total time to stabilization</x:v>
      </x:c>
      <x:c r="B33" s="160" t="n">
        <x:v>24</x:v>
      </x:c>
      <x:c r="C33" s="161" t="str">
        <x:v>months</x:v>
      </x:c>
      <x:c r="D33" s="162" t="str">
        <x:v>Roughly two years per 8/17 instruction</x:v>
      </x:c>
    </x:row>
    <x:row r="34">
      <x:c r="A34" s="159"/>
      <x:c r="B34" s="145"/>
      <x:c r="C34" s="161"/>
      <x:c r="D34" s="162"/>
    </x:row>
    <x:row r="35" ht="16.5" customHeight="1">
      <x:c r="A35" s="165" t="str">
        <x:v>TWO-YEAR PHASING</x:v>
      </x:c>
      <x:c r="B35" s="145"/>
      <x:c r="C35" s="161"/>
      <x:c r="D35" s="162"/>
    </x:row>
    <x:row r="36">
      <x:c r="A36" s="159" t="str">
        <x:v>Pre-development / permits</x:v>
      </x:c>
      <x:c r="B36" s="160" t="n">
        <x:v>6</x:v>
      </x:c>
      <x:c r="C36" s="161" t="str">
        <x:v>months</x:v>
      </x:c>
      <x:c r="D36" s="162" t="str">
        <x:v>ASPR, detailed structural/MEP, remaining approvals</x:v>
      </x:c>
    </x:row>
    <x:row r="37">
      <x:c r="A37" s="159" t="str">
        <x:v>Construction</x:v>
      </x:c>
      <x:c r="B37" s="160" t="n">
        <x:v>12</x:v>
      </x:c>
      <x:c r="C37" s="161" t="str">
        <x:v>months</x:v>
      </x:c>
      <x:c r="D37" s="162" t="str">
        <x:v>Illustrative shell build</x:v>
      </x:c>
    </x:row>
    <x:row r="38">
      <x:c r="A38" s="159" t="str">
        <x:v>Lease-up / stabilization</x:v>
      </x:c>
      <x:c r="B38" s="160" t="n">
        <x:v>6</x:v>
      </x:c>
      <x:c r="C38" s="161" t="str">
        <x:v>months</x:v>
      </x:c>
      <x:c r="D38" s="162" t="str">
        <x:v>Illustrative period to stabilized occupancy</x:v>
      </x:c>
    </x:row>
    <x:row r="39">
      <x:c r="A39" s="159"/>
      <x:c r="B39" s="145"/>
      <x:c r="C39" s="161"/>
      <x:c r="D39" s="162"/>
    </x:row>
    <x:row r="40" ht="16.5" customHeight="1">
      <x:c r="A40" s="165" t="str">
        <x:v>REFERENCE PRICES FOR COMPARISON</x:v>
      </x:c>
      <x:c r="B40" s="145"/>
      <x:c r="C40" s="161"/>
      <x:c r="D40" s="162"/>
    </x:row>
    <x:row r="41">
      <x:c r="A41" s="159" t="str">
        <x:v>Final Jose reference price</x:v>
      </x:c>
      <x:c r="B41" s="168" t="n">
        <x:v>2750000</x:v>
      </x:c>
      <x:c r="C41" s="161" t="str">
        <x:v>$</x:v>
      </x:c>
      <x:c r="D41" s="162" t="str">
        <x:v>Comparison only; the project's straight-sale floor remains unresolved</x:v>
      </x:c>
    </x:row>
    <x:row r="42">
      <x:c r="A42" s="159" t="str">
        <x:v>Pop's earlier low ask</x:v>
      </x:c>
      <x:c r="B42" s="168" t="n">
        <x:v>4200000</x:v>
      </x:c>
      <x:c r="C42" s="161" t="str">
        <x:v>$</x:v>
      </x:c>
      <x:c r="D42" s="162" t="str">
        <x:v>Produced from the $200/SF and 5% gross-rent shortcut</x:v>
      </x:c>
    </x:row>
    <x:row r="43">
      <x:c r="A43" s="159" t="str">
        <x:v>Pop's earlier high ask</x:v>
      </x:c>
      <x:c r="B43" s="168" t="n">
        <x:v>4500000</x:v>
      </x:c>
      <x:c r="C43" s="161" t="str">
        <x:v>$</x:v>
      </x:c>
      <x:c r="D43" s="162" t="str">
        <x:v>Produced from the $200/SF and 5% gross-rent shortcut</x:v>
      </x:c>
    </x:row>
    <x:row r="44">
      <x:c r="A44" s="159"/>
      <x:c r="B44" s="145"/>
      <x:c r="C44" s="161"/>
      <x:c r="D44" s="162"/>
    </x:row>
    <x:row r="45" ht="16.5" customHeight="1">
      <x:c r="A45" s="165" t="str">
        <x:v>SOURCES AND MODEL LIMITS</x:v>
      </x:c>
      <x:c r="B45" s="145"/>
      <x:c r="C45" s="161"/>
      <x:c r="D45" s="162"/>
    </x:row>
    <x:row r="46">
      <x:c r="A46" s="159" t="str">
        <x:v>Parcel, building, rent basis</x:v>
      </x:c>
      <x:c r="B46" s="145" t="str"/>
      <x:c r="C46" s="161" t="str">
        <x:v>Vault</x:v>
      </x:c>
      <x:c r="D46" s="144" t="str">
        <x:v>New Wetlands _AREA_MEMORY.md, current as read 8/17/2026</x:v>
      </x:c>
    </x:row>
    <x:row r="47">
      <x:c r="A47" s="159" t="str">
        <x:v>$150/SF and original 6%-7% discussion</x:v>
      </x:c>
      <x:c r="B47" s="145" t="str"/>
      <x:c r="C47" s="161" t="str">
        <x:v>Vault</x:v>
      </x:c>
      <x:c r="D47" s="144" t="str">
        <x:v>8/17/2026 1:03 p.m. meeting note and controlling project task</x:v>
      </x:c>
    </x:row>
    <x:row r="48">
      <x:c r="A48" s="159" t="str">
        <x:v>Cost adders and financing</x:v>
      </x:c>
      <x:c r="B48" s="145" t="str"/>
      <x:c r="C48" s="161" t="str">
        <x:v>Vault</x:v>
      </x:c>
      <x:c r="D48" s="144" t="str">
        <x:v>7/29/2026 Construction Loan Package; conceptual lender basis</x:v>
      </x:c>
    </x:row>
    <x:row r="49">
      <x:c r="A49" s="159" t="str">
        <x:v>Credits allowance</x:v>
      </x:c>
      <x:c r="B49" s="145" t="str"/>
      <x:c r="C49" s="161" t="str">
        <x:v>Vault</x:v>
      </x:c>
      <x:c r="D49" s="144" t="str">
        <x:v>8/17/2026 project task and meeting notes; about $250,000</x:v>
      </x:c>
    </x:row>
    <x:row r="50">
      <x:c r="A50" s="159" t="str">
        <x:v>Capitalization method</x:v>
      </x:c>
      <x:c r="B50" s="145" t="str"/>
      <x:c r="C50" s="161" t="str">
        <x:v>Model</x:v>
      </x:c>
      <x:c r="D50" s="144" t="str">
        <x:v>Stabilized value = stabilized annual NOI / 5% cap rate; land price is the residual after buyer costs.</x:v>
      </x:c>
    </x:row>
    <x:row r="51">
      <x:c r="A51" s="159" t="str">
        <x:v>Budget status</x:v>
      </x:c>
      <x:c r="B51" s="145" t="str"/>
      <x:c r="C51" s="161" t="str">
        <x:v>Model</x:v>
      </x:c>
      <x:c r="D51" s="144" t="str">
        <x:v>Marketing underwriting only. No firm structural package, trade bids, tax quote, insurance quote, or buyer financing.</x:v>
      </x:c>
    </x:row>
  </x:sheetData>
  <x:mergeCells>
    <x:mergeCell ref="A1:D1"/>
    <x:mergeCell ref="A2:D2"/>
    <x:mergeCell ref="A4:D4"/>
    <x:mergeCell ref="A12:D12"/>
    <x:mergeCell ref="A22:D22"/>
    <x:mergeCell ref="A35:D35"/>
    <x:mergeCell ref="A40:D40"/>
    <x:mergeCell ref="A45:D45"/>
  </x:mergeCells>
  <x:pageMargins left="0.7" right="0.7" top="0.75" bottom="0.75" header="0.3" footer="0.3"/>
  <x:legacyDrawing xmlns:r="http://schemas.openxmlformats.org/officeDocument/2006/relationships" r:id="Rf6156e3b79c34462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3.33000183105469" hidden="0" customWidth="1"/>
    <x:col min="2" max="2" width="16.670000076293945" hidden="0" customWidth="1"/>
    <x:col min="3" max="3" width="13.890000343322754" hidden="0" customWidth="1"/>
    <x:col min="4" max="4" width="14.4399995803833" hidden="0" customWidth="1"/>
    <x:col min="5" max="5" width="40" hidden="0" customWidth="1"/>
  </x:cols>
  <x:sheetData>
    <x:row r="1" ht="25.5" customHeight="1">
      <x:c r="A1" s="127" t="str">
        <x:v>New Wetlands - Buyer Development Basis</x:v>
      </x:c>
      <x:c r="B1" s="145"/>
      <x:c r="C1" s="145"/>
      <x:c r="D1" s="145"/>
      <x:c r="E1" s="145"/>
    </x:row>
    <x:row r="2" ht="18" customHeight="1">
      <x:c r="A2" s="129" t="str">
        <x:v>Two-year sources-and-uses build-up at the supported rounded asking price</x:v>
      </x:c>
      <x:c r="B2" s="145"/>
      <x:c r="C2" s="145"/>
      <x:c r="D2" s="145"/>
      <x:c r="E2" s="145"/>
    </x:row>
    <x:row r="3">
      <x:c r="A3" s="145"/>
      <x:c r="B3" s="145"/>
      <x:c r="C3" s="145"/>
      <x:c r="D3" s="145"/>
      <x:c r="E3" s="145"/>
    </x:row>
    <x:row r="4" ht="16.5" customHeight="1">
      <x:c r="A4" s="130" t="str">
        <x:v>LAND ACQUISITION</x:v>
      </x:c>
      <x:c r="B4" s="145"/>
      <x:c r="C4" s="145"/>
      <x:c r="D4" s="145"/>
      <x:c r="E4" s="145"/>
    </x:row>
    <x:row r="5">
      <x:c r="A5" s="145" t="str">
        <x:v>Land purchase price</x:v>
      </x:c>
      <x:c r="B5" s="156" t="n">
        <x:f>'Summary'!B6</x:f>
        <x:v>4200000</x:v>
      </x:c>
      <x:c r="C5" s="145" t="str">
        <x:v>$</x:v>
      </x:c>
      <x:c r="D5" s="145" t="str">
        <x:v>Month 0</x:v>
      </x:c>
      <x:c r="E5" s="144" t="str">
        <x:v>Rounded supported ask from Summary</x:v>
      </x:c>
    </x:row>
    <x:row r="6">
      <x:c r="A6" s="145" t="str">
        <x:v>Buyer acquisition closing costs</x:v>
      </x:c>
      <x:c r="B6" s="156" t="n">
        <x:f>B5*'Assumptions'!B32</x:f>
        <x:v>84000</x:v>
      </x:c>
      <x:c r="C6" s="145" t="str">
        <x:v>$</x:v>
      </x:c>
      <x:c r="D6" s="145" t="str">
        <x:v>Month 0</x:v>
      </x:c>
      <x:c r="E6" s="144" t="str">
        <x:v>Percent of land purchase price</x:v>
      </x:c>
    </x:row>
    <x:row r="7">
      <x:c r="A7" s="145"/>
      <x:c r="B7" s="145"/>
      <x:c r="C7" s="145"/>
      <x:c r="D7" s="145"/>
      <x:c r="E7" s="144"/>
    </x:row>
    <x:row r="8" ht="16.5" customHeight="1">
      <x:c r="A8" s="130" t="str">
        <x:v>DEVELOPMENT AND CONSTRUCTION</x:v>
      </x:c>
      <x:c r="B8" s="145"/>
      <x:c r="C8" s="145"/>
      <x:c r="D8" s="145"/>
      <x:c r="E8" s="144"/>
    </x:row>
    <x:row r="9">
      <x:c r="A9" s="145" t="str">
        <x:v>Base hard construction cost</x:v>
      </x:c>
      <x:c r="B9" s="156" t="n">
        <x:f>'Assumptions'!B23*'Assumptions'!B6</x:f>
        <x:v>2616300</x:v>
      </x:c>
      <x:c r="C9" s="145" t="str">
        <x:v>$</x:v>
      </x:c>
      <x:c r="D9" s="145" t="str">
        <x:v>Months 7-18</x:v>
      </x:c>
      <x:c r="E9" s="144" t="str">
        <x:v>$150/SF x building SF</x:v>
      </x:c>
    </x:row>
    <x:row r="10">
      <x:c r="A10" s="145" t="str">
        <x:v>Design, engineering, and surveys</x:v>
      </x:c>
      <x:c r="B10" s="156" t="n">
        <x:f>B9*'Assumptions'!B24</x:f>
        <x:v>183141.00000000003</x:v>
      </x:c>
      <x:c r="C10" s="145" t="str">
        <x:v>$</x:v>
      </x:c>
      <x:c r="D10" s="145" t="str">
        <x:v>Months 1-18</x:v>
      </x:c>
      <x:c r="E10" s="144" t="str">
        <x:v>Percent of hard cost</x:v>
      </x:c>
    </x:row>
    <x:row r="11">
      <x:c r="A11" s="145" t="str">
        <x:v>Permits, testing, and builder's risk</x:v>
      </x:c>
      <x:c r="B11" s="156" t="n">
        <x:f>B9*'Assumptions'!B25</x:f>
        <x:v>78489</x:v>
      </x:c>
      <x:c r="C11" s="145" t="str">
        <x:v>$</x:v>
      </x:c>
      <x:c r="D11" s="145" t="str">
        <x:v>Months 1-18</x:v>
      </x:c>
      <x:c r="E11" s="144" t="str">
        <x:v>Percent of hard cost</x:v>
      </x:c>
    </x:row>
    <x:row r="12">
      <x:c r="A12" s="145" t="str">
        <x:v>Construction contingency</x:v>
      </x:c>
      <x:c r="B12" s="156" t="n">
        <x:f>B9*'Assumptions'!B26</x:f>
        <x:v>196222.5</x:v>
      </x:c>
      <x:c r="C12" s="145" t="str">
        <x:v>$</x:v>
      </x:c>
      <x:c r="D12" s="145" t="str">
        <x:v>Months 7-18</x:v>
      </x:c>
      <x:c r="E12" s="144" t="str">
        <x:v>Percent of hard cost</x:v>
      </x:c>
    </x:row>
    <x:row r="13">
      <x:c r="A13" s="145" t="str">
        <x:v>Lender, legal, and closing costs</x:v>
      </x:c>
      <x:c r="B13" s="156" t="n">
        <x:f>B9*'Assumptions'!B27</x:f>
        <x:v>39244.5</x:v>
      </x:c>
      <x:c r="C13" s="145" t="str">
        <x:v>$</x:v>
      </x:c>
      <x:c r="D13" s="145" t="str">
        <x:v>Months 1-18</x:v>
      </x:c>
      <x:c r="E13" s="144" t="str">
        <x:v>Percent of hard cost</x:v>
      </x:c>
    </x:row>
    <x:row r="14">
      <x:c r="A14" s="145" t="str">
        <x:v>Wetlands credit / entitlement allowance</x:v>
      </x:c>
      <x:c r="B14" s="156" t="n">
        <x:f>'Assumptions'!B28</x:f>
        <x:v>250000</x:v>
      </x:c>
      <x:c r="C14" s="145" t="str">
        <x:v>$</x:v>
      </x:c>
      <x:c r="D14" s="145" t="str">
        <x:v>Months 1-6</x:v>
      </x:c>
      <x:c r="E14" s="144" t="str">
        <x:v>Remove if conveyed credits are confirmed usable</x:v>
      </x:c>
    </x:row>
    <x:row r="15">
      <x:c r="A15" s="145" t="str">
        <x:v>Subtotal before financing</x:v>
      </x:c>
      <x:c r="B15" s="155" t="n">
        <x:f>SUM(B9:B14)</x:f>
        <x:v>3363397</x:v>
      </x:c>
      <x:c r="C15" s="145" t="str">
        <x:v>$</x:v>
      </x:c>
      <x:c r="D15" s="145" t="str"/>
      <x:c r="E15" s="144" t="str">
        <x:v>Development uses excluding land</x:v>
      </x:c>
    </x:row>
    <x:row r="16">
      <x:c r="A16" s="145" t="str">
        <x:v>Construction interest carry</x:v>
      </x:c>
      <x:c r="B16" s="156" t="n">
        <x:f>B15*'Assumptions'!B29*'Assumptions'!B30*'Assumptions'!B31/24</x:f>
        <x:v>132433.756875</x:v>
      </x:c>
      <x:c r="C16" s="145" t="str">
        <x:v>$</x:v>
      </x:c>
      <x:c r="D16" s="145" t="str">
        <x:v>Months 1-18</x:v>
      </x:c>
      <x:c r="E16" s="144" t="str">
        <x:v>70% LTC, 7.5%, 18 months, 50% average draw</x:v>
      </x:c>
    </x:row>
    <x:row r="17">
      <x:c r="A17" s="169" t="str">
        <x:v>Total development cost excluding land</x:v>
      </x:c>
      <x:c r="B17" s="170" t="n">
        <x:f>SUM(B15:B16)</x:f>
        <x:v>3495830.756875</x:v>
      </x:c>
      <x:c r="C17" s="145" t="str">
        <x:v>$</x:v>
      </x:c>
      <x:c r="D17" s="145" t="str"/>
      <x:c r="E17" s="144" t="str">
        <x:v>Subtotal plus construction interest</x:v>
      </x:c>
    </x:row>
    <x:row r="18">
      <x:c r="A18" s="145"/>
      <x:c r="B18" s="145"/>
      <x:c r="C18" s="145"/>
      <x:c r="D18" s="145"/>
      <x:c r="E18" s="144"/>
    </x:row>
    <x:row r="19" ht="16.5" customHeight="1">
      <x:c r="A19" s="130" t="str">
        <x:v>TOTAL BUYER BASIS AND 5% CAP RECONCILIATION AT MONTH 24</x:v>
      </x:c>
      <x:c r="B19" s="145"/>
      <x:c r="C19" s="145"/>
      <x:c r="D19" s="145"/>
      <x:c r="E19" s="144"/>
    </x:row>
    <x:row r="20">
      <x:c r="A20" s="146" t="str">
        <x:v>Total buyer basis</x:v>
      </x:c>
      <x:c r="B20" s="147" t="n">
        <x:f>SUM(B5:B6,B17)</x:f>
        <x:v>7779830.756875</x:v>
      </x:c>
      <x:c r="C20" s="145" t="str">
        <x:v>$</x:v>
      </x:c>
      <x:c r="D20" s="145" t="str">
        <x:v>Month 24</x:v>
      </x:c>
      <x:c r="E20" s="144" t="str">
        <x:v>Land + acquisition closing + development</x:v>
      </x:c>
    </x:row>
    <x:row r="21">
      <x:c r="A21" s="146" t="str">
        <x:v>Total basis per building SF</x:v>
      </x:c>
      <x:c r="B21" s="171" t="n">
        <x:f>B20/'Assumptions'!B6</x:f>
        <x:v>446.0400617403394</x:v>
      </x:c>
      <x:c r="C21" s="145" t="str">
        <x:v>$/SF</x:v>
      </x:c>
      <x:c r="D21" s="145" t="str">
        <x:v>Month 24</x:v>
      </x:c>
      <x:c r="E21" s="144" t="str">
        <x:v>Total buyer basis / building SF</x:v>
      </x:c>
    </x:row>
    <x:row r="22">
      <x:c r="A22" s="146" t="str">
        <x:v>Stabilized NOI</x:v>
      </x:c>
      <x:c r="B22" s="149" t="n">
        <x:f>'Stabilized NOI'!B21</x:f>
        <x:v>390491.49600000004</x:v>
      </x:c>
      <x:c r="C22" s="145" t="str">
        <x:v>$</x:v>
      </x:c>
      <x:c r="D22" s="145" t="str">
        <x:v>Annual</x:v>
      </x:c>
      <x:c r="E22" s="144" t="str">
        <x:v>From Stabilized NOI tab</x:v>
      </x:c>
    </x:row>
    <x:row r="23">
      <x:c r="A23" s="146" t="str">
        <x:v>Cap-equivalent yield on total cost</x:v>
      </x:c>
      <x:c r="B23" s="153" t="n">
        <x:f>B22/B20</x:f>
        <x:v>0.050192800872297196</x:v>
      </x:c>
      <x:c r="C23" s="145" t="str">
        <x:v>%</x:v>
      </x:c>
      <x:c r="D23" s="145" t="str">
        <x:v>Month 24</x:v>
      </x:c>
      <x:c r="E23" s="144" t="str">
        <x:v>Annual NOI / total buyer basis</x:v>
      </x:c>
    </x:row>
    <x:row r="24">
      <x:c r="A24" s="146" t="str">
        <x:v>Time to stabilization</x:v>
      </x:c>
      <x:c r="B24" s="172" t="n">
        <x:f>'Assumptions'!B33</x:f>
        <x:v>24</x:v>
      </x:c>
      <x:c r="C24" s="145" t="str">
        <x:v>months</x:v>
      </x:c>
      <x:c r="D24" s="145" t="str"/>
      <x:c r="E24" s="144" t="str">
        <x:v>Pre-development + construction + lease-up</x:v>
      </x:c>
    </x:row>
    <x:row r="25">
      <x:c r="A25" s="145"/>
      <x:c r="B25" s="145"/>
      <x:c r="C25" s="145"/>
      <x:c r="D25" s="145"/>
      <x:c r="E25" s="144"/>
    </x:row>
    <x:row r="26" ht="16.5" customHeight="1">
      <x:c r="A26" s="130" t="str">
        <x:v>TWO-YEAR TIMELINE</x:v>
      </x:c>
      <x:c r="B26" s="145"/>
      <x:c r="C26" s="145"/>
      <x:c r="D26" s="145"/>
      <x:c r="E26" s="144"/>
    </x:row>
    <x:row r="27">
      <x:c r="A27" s="173" t="str">
        <x:v>Phase</x:v>
      </x:c>
      <x:c r="B27" s="173" t="str">
        <x:v>Start</x:v>
      </x:c>
      <x:c r="C27" s="173" t="str">
        <x:v>End</x:v>
      </x:c>
      <x:c r="D27" s="173" t="str">
        <x:v>Months</x:v>
      </x:c>
      <x:c r="E27" s="174" t="str">
        <x:v>Modeled outcome</x:v>
      </x:c>
    </x:row>
    <x:row r="28">
      <x:c r="A28" s="145" t="str">
        <x:v>Pre-development / permits</x:v>
      </x:c>
      <x:c r="B28" s="145" t="n">
        <x:v>1</x:v>
      </x:c>
      <x:c r="C28" s="145" t="n">
        <x:v>6</x:v>
      </x:c>
      <x:c r="D28" s="151" t="n">
        <x:f>'Assumptions'!B36</x:f>
        <x:v>6</x:v>
      </x:c>
      <x:c r="E28" s="144" t="str">
        <x:v>ASPR, remaining design, permits, credits</x:v>
      </x:c>
    </x:row>
    <x:row r="29">
      <x:c r="A29" s="145" t="str">
        <x:v>Construction</x:v>
      </x:c>
      <x:c r="B29" s="145" t="n">
        <x:v>7</x:v>
      </x:c>
      <x:c r="C29" s="145" t="n">
        <x:v>18</x:v>
      </x:c>
      <x:c r="D29" s="151" t="n">
        <x:f>'Assumptions'!B37</x:f>
        <x:v>12</x:v>
      </x:c>
      <x:c r="E29" s="144" t="str">
        <x:v>Shell and site work</x:v>
      </x:c>
    </x:row>
    <x:row r="30">
      <x:c r="A30" s="145" t="str">
        <x:v>Lease-up / stabilization</x:v>
      </x:c>
      <x:c r="B30" s="145" t="n">
        <x:v>19</x:v>
      </x:c>
      <x:c r="C30" s="145" t="n">
        <x:v>24</x:v>
      </x:c>
      <x:c r="D30" s="151" t="n">
        <x:f>'Assumptions'!B38</x:f>
        <x:v>6</x:v>
      </x:c>
      <x:c r="E30" s="144" t="str">
        <x:v>Stabilized occupancy by month 24</x:v>
      </x:c>
    </x:row>
  </x:sheetData>
  <x:mergeCells>
    <x:mergeCell ref="A1:E1"/>
    <x:mergeCell ref="A2:E2"/>
    <x:mergeCell ref="A4:E4"/>
    <x:mergeCell ref="A8:E8"/>
    <x:mergeCell ref="A19:E19"/>
    <x:mergeCell ref="A26:E26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5.560001373291016" hidden="0" customWidth="1"/>
    <x:col min="2" max="2" width="16.670000076293945" hidden="0" customWidth="1"/>
    <x:col min="3" max="3" width="12.779999732971191" hidden="0" customWidth="1"/>
    <x:col min="4" max="4" width="43.33000183105469" hidden="0" customWidth="1"/>
  </x:cols>
  <x:sheetData>
    <x:row r="1" ht="25.5" customHeight="1">
      <x:c r="A1" s="127" t="str">
        <x:v>New Wetlands - Stabilized NOI</x:v>
      </x:c>
      <x:c r="B1" s="145"/>
      <x:c r="C1" s="145"/>
      <x:c r="D1" s="145"/>
    </x:row>
    <x:row r="2" ht="18" customHeight="1">
      <x:c r="A2" s="129" t="str">
        <x:v>Annual stabilized operations after the two-year development and lease-up period</x:v>
      </x:c>
      <x:c r="B2" s="145"/>
      <x:c r="C2" s="145"/>
      <x:c r="D2" s="145"/>
    </x:row>
    <x:row r="3">
      <x:c r="A3" s="145"/>
      <x:c r="B3" s="145"/>
      <x:c r="C3" s="145"/>
      <x:c r="D3" s="145"/>
    </x:row>
    <x:row r="4" ht="16.5" customHeight="1">
      <x:c r="A4" s="130" t="str">
        <x:v>RENTAL INCOME</x:v>
      </x:c>
      <x:c r="B4" s="145"/>
      <x:c r="C4" s="145"/>
      <x:c r="D4" s="145"/>
    </x:row>
    <x:row r="5">
      <x:c r="A5" s="145" t="str">
        <x:v>Base rent</x:v>
      </x:c>
      <x:c r="B5" s="152" t="n">
        <x:f>'Assumptions'!B13</x:f>
        <x:v>25</x:v>
      </x:c>
      <x:c r="C5" s="145" t="str">
        <x:v>$/SF/year</x:v>
      </x:c>
      <x:c r="D5" s="144" t="str">
        <x:v>From assumptions</x:v>
      </x:c>
    </x:row>
    <x:row r="6">
      <x:c r="A6" s="145" t="str">
        <x:v>Gross potential base rent</x:v>
      </x:c>
      <x:c r="B6" s="156" t="n">
        <x:f>B5*'Assumptions'!B6</x:f>
        <x:v>436050</x:v>
      </x:c>
      <x:c r="C6" s="145" t="str">
        <x:v>$</x:v>
      </x:c>
      <x:c r="D6" s="144" t="str">
        <x:v>Building SF x base rent</x:v>
      </x:c>
    </x:row>
    <x:row r="7">
      <x:c r="A7" s="145" t="str">
        <x:v>Less: vacancy and credit loss</x:v>
      </x:c>
      <x:c r="B7" s="156" t="n">
        <x:f>-B6*'Assumptions'!B15</x:f>
        <x:v>-21802.5</x:v>
      </x:c>
      <x:c r="C7" s="145" t="str">
        <x:v>$</x:v>
      </x:c>
      <x:c r="D7" s="144" t="str">
        <x:v>Applied to base rent</x:v>
      </x:c>
    </x:row>
    <x:row r="8">
      <x:c r="A8" s="145" t="str">
        <x:v>Collected base rent</x:v>
      </x:c>
      <x:c r="B8" s="155" t="n">
        <x:f>SUM(B6:B7)</x:f>
        <x:v>414247.5</x:v>
      </x:c>
      <x:c r="C8" s="145" t="str">
        <x:v>$</x:v>
      </x:c>
      <x:c r="D8" s="144" t="str">
        <x:v>Gross base rent less vacancy</x:v>
      </x:c>
    </x:row>
    <x:row r="9">
      <x:c r="A9" s="145" t="str">
        <x:v>NNN recoveries billed</x:v>
      </x:c>
      <x:c r="B9" s="156" t="n">
        <x:f>'Assumptions'!B14*'Assumptions'!B6</x:f>
        <x:v>122094</x:v>
      </x:c>
      <x:c r="C9" s="145" t="str">
        <x:v>$</x:v>
      </x:c>
      <x:c r="D9" s="144" t="str">
        <x:v>Full taxes, insurance, and CAM pass-through</x:v>
      </x:c>
    </x:row>
    <x:row r="10">
      <x:c r="A10" s="145" t="str">
        <x:v>Less: vacancy on reimbursements</x:v>
      </x:c>
      <x:c r="B10" s="156" t="n">
        <x:f>-B9*'Assumptions'!B15</x:f>
        <x:v>-6104.700000000001</x:v>
      </x:c>
      <x:c r="C10" s="145" t="str">
        <x:v>$</x:v>
      </x:c>
      <x:c r="D10" s="144" t="str">
        <x:v>Unrecovered pass-through during vacancy</x:v>
      </x:c>
    </x:row>
    <x:row r="11">
      <x:c r="A11" s="145" t="str">
        <x:v>Collected NNN reimbursements</x:v>
      </x:c>
      <x:c r="B11" s="155" t="n">
        <x:f>SUM(B9:B10)</x:f>
        <x:v>115989.3</x:v>
      </x:c>
      <x:c r="C11" s="145" t="str">
        <x:v>$</x:v>
      </x:c>
      <x:c r="D11" s="144" t="str">
        <x:v>Collected pass-through</x:v>
      </x:c>
    </x:row>
    <x:row r="12">
      <x:c r="A12" s="169" t="str">
        <x:v>Effective gross income</x:v>
      </x:c>
      <x:c r="B12" s="170" t="n">
        <x:f>SUM(B8,B11)</x:f>
        <x:v>530236.8</x:v>
      </x:c>
      <x:c r="C12" s="145" t="str">
        <x:v>$</x:v>
      </x:c>
      <x:c r="D12" s="144" t="str">
        <x:v>Collected base rent plus collected reimbursements</x:v>
      </x:c>
    </x:row>
    <x:row r="13">
      <x:c r="A13" s="145"/>
      <x:c r="B13" s="145"/>
      <x:c r="C13" s="145"/>
      <x:c r="D13" s="144"/>
    </x:row>
    <x:row r="14" ht="16.5" customHeight="1">
      <x:c r="A14" s="130" t="str">
        <x:v>OPERATING EXPENSES</x:v>
      </x:c>
      <x:c r="B14" s="145"/>
      <x:c r="C14" s="145"/>
      <x:c r="D14" s="144"/>
    </x:row>
    <x:row r="15">
      <x:c r="A15" s="145" t="str">
        <x:v>Taxes, insurance, and CAM</x:v>
      </x:c>
      <x:c r="B15" s="155" t="n">
        <x:f>-B9</x:f>
        <x:v>-122094</x:v>
      </x:c>
      <x:c r="C15" s="145" t="str">
        <x:v>$</x:v>
      </x:c>
      <x:c r="D15" s="144" t="str">
        <x:v>Paid by landlord and reimbursed under NNN</x:v>
      </x:c>
    </x:row>
    <x:row r="16">
      <x:c r="A16" s="145" t="str">
        <x:v>Management fee</x:v>
      </x:c>
      <x:c r="B16" s="156" t="n">
        <x:f>-B12*'Assumptions'!B16</x:f>
        <x:v>-15907.104000000001</x:v>
      </x:c>
      <x:c r="C16" s="145" t="str">
        <x:v>$</x:v>
      </x:c>
      <x:c r="D16" s="144" t="str">
        <x:v>Percent of effective gross income</x:v>
      </x:c>
    </x:row>
    <x:row r="17">
      <x:c r="A17" s="145" t="str">
        <x:v>Replacement reserves</x:v>
      </x:c>
      <x:c r="B17" s="156" t="n">
        <x:f>-'Assumptions'!B17*'Assumptions'!B6</x:f>
        <x:v>-1744.2</x:v>
      </x:c>
      <x:c r="C17" s="145" t="str">
        <x:v>$</x:v>
      </x:c>
      <x:c r="D17" s="144" t="str">
        <x:v>Landlord reserve</x:v>
      </x:c>
    </x:row>
    <x:row r="18">
      <x:c r="A18" s="169" t="str">
        <x:v>Total operating expenses</x:v>
      </x:c>
      <x:c r="B18" s="170" t="n">
        <x:f>SUM(B15:B17)</x:f>
        <x:v>-139745.304</x:v>
      </x:c>
      <x:c r="C18" s="145" t="str">
        <x:v>$</x:v>
      </x:c>
      <x:c r="D18" s="144" t="str">
        <x:v>Sum of operating expenses</x:v>
      </x:c>
    </x:row>
    <x:row r="19">
      <x:c r="A19" s="145"/>
      <x:c r="B19" s="145"/>
      <x:c r="C19" s="145"/>
      <x:c r="D19" s="144"/>
    </x:row>
    <x:row r="20" ht="16.5" customHeight="1">
      <x:c r="A20" s="130" t="str">
        <x:v>STABILIZED OUTPUT</x:v>
      </x:c>
      <x:c r="B20" s="145"/>
      <x:c r="C20" s="145"/>
      <x:c r="D20" s="144"/>
    </x:row>
    <x:row r="21">
      <x:c r="A21" s="146" t="str">
        <x:v>Net operating income (NOI)</x:v>
      </x:c>
      <x:c r="B21" s="147" t="n">
        <x:f>B12+B18</x:f>
        <x:v>390491.49600000004</x:v>
      </x:c>
      <x:c r="C21" s="145" t="str">
        <x:v>$</x:v>
      </x:c>
      <x:c r="D21" s="144" t="str">
        <x:v>Income less operating expenses, before debt service</x:v>
      </x:c>
    </x:row>
    <x:row r="22">
      <x:c r="A22" s="145" t="str">
        <x:v>NOI per building SF</x:v>
      </x:c>
      <x:c r="B22" s="152" t="n">
        <x:f>B21/'Assumptions'!B6</x:f>
        <x:v>22.388</x:v>
      </x:c>
      <x:c r="C22" s="145" t="str">
        <x:v>$/SF</x:v>
      </x:c>
      <x:c r="D22" s="144" t="str">
        <x:v>Stabilized NOI divided by building area</x:v>
      </x:c>
    </x:row>
    <x:row r="23">
      <x:c r="A23" s="145" t="str">
        <x:v>NNN recovery shortfall</x:v>
      </x:c>
      <x:c r="B23" s="155" t="n">
        <x:f>B9-B11</x:f>
        <x:v>6104.699999999997</x:v>
      </x:c>
      <x:c r="C23" s="145" t="str">
        <x:v>$</x:v>
      </x:c>
      <x:c r="D23" s="144" t="str">
        <x:v>Unrecovered pass-through caused by vacancy</x:v>
      </x:c>
    </x:row>
    <x:row r="24">
      <x:c r="A24" s="145" t="str">
        <x:v>NOI margin on gross base rent</x:v>
      </x:c>
      <x:c r="B24" s="175" t="n">
        <x:f>B21/B6</x:f>
        <x:v>0.8955200000000001</x:v>
      </x:c>
      <x:c r="C24" s="145" t="str">
        <x:v>%</x:v>
      </x:c>
      <x:c r="D24" s="144" t="str">
        <x:v>NOI divided by gross potential base rent</x:v>
      </x:c>
    </x:row>
  </x:sheetData>
  <x:mergeCells>
    <x:mergeCell ref="A1:D1"/>
    <x:mergeCell ref="A2:D2"/>
    <x:mergeCell ref="A4:D4"/>
    <x:mergeCell ref="A14:D14"/>
    <x:mergeCell ref="A20:D20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.670000076293945" hidden="0" customWidth="1"/>
    <x:col min="2" max="2" width="16.110000610351562" hidden="0" customWidth="1"/>
    <x:col min="3" max="3" width="16.110000610351562" hidden="0" customWidth="1"/>
    <x:col min="4" max="4" width="16.110000610351562" hidden="0" customWidth="1"/>
    <x:col min="5" max="5" width="18.329999923706055" hidden="0" customWidth="1"/>
    <x:col min="6" max="6" width="3.890000104904175" hidden="0" customWidth="1"/>
    <x:col min="7" max="7" width="16.670000076293945" hidden="0" customWidth="1"/>
    <x:col min="8" max="8" width="16.110000610351562" hidden="0" customWidth="1"/>
    <x:col min="9" max="9" width="16.110000610351562" hidden="0" customWidth="1"/>
    <x:col min="10" max="10" width="16.110000610351562" hidden="0" customWidth="1"/>
    <x:col min="11" max="11" width="18.329999923706055" hidden="0" customWidth="1"/>
  </x:cols>
  <x:sheetData>
    <x:row r="1" ht="25.5" customHeight="1">
      <x:c r="A1" s="127" t="str">
        <x:v>New Wetlands - Supported Land Price Sensitivities</x:v>
      </x:c>
      <x:c r="B1" s="145"/>
      <x:c r="C1" s="145"/>
      <x:c r="D1" s="145"/>
      <x:c r="E1" s="145"/>
    </x:row>
    <x:row r="2" ht="18" customHeight="1">
      <x:c r="A2" s="129" t="str">
        <x:v>Each cell capitalizes the underlying stabilized NOI, then subtracts the modeled buyer development basis</x:v>
      </x:c>
      <x:c r="B2" s="145"/>
      <x:c r="C2" s="145"/>
      <x:c r="D2" s="145"/>
      <x:c r="E2" s="145"/>
    </x:row>
    <x:row r="3">
      <x:c r="A3" s="145"/>
      <x:c r="B3" s="145"/>
      <x:c r="C3" s="145"/>
      <x:c r="D3" s="145"/>
      <x:c r="E3" s="145"/>
    </x:row>
    <x:row r="4" ht="16.5" customHeight="1">
      <x:c r="A4" s="130" t="str">
        <x:v>BASE RENT VS. CAP RATE (HARD COST FIXED AT $150/SF)</x:v>
      </x:c>
      <x:c r="B4" s="145"/>
      <x:c r="C4" s="145"/>
      <x:c r="D4" s="145"/>
      <x:c r="E4" s="145"/>
    </x:row>
    <x:row r="5">
      <x:c r="A5" s="145"/>
      <x:c r="B5" s="145"/>
      <x:c r="C5" s="145"/>
      <x:c r="D5" s="145"/>
      <x:c r="E5" s="145"/>
    </x:row>
    <x:row r="6">
      <x:c r="A6" s="183" t="str">
        <x:v>Base rent</x:v>
      </x:c>
      <x:c r="B6" s="184" t="n">
        <x:v>0.0475</x:v>
      </x:c>
      <x:c r="C6" s="184" t="n">
        <x:v>0.05</x:v>
      </x:c>
      <x:c r="D6" s="184" t="n">
        <x:v>0.0525</x:v>
      </x:c>
      <x:c r="E6" s="183" t="str">
        <x:v>Implied NOI</x:v>
      </x:c>
    </x:row>
    <x:row r="7">
      <x:c r="A7" s="185" t="n">
        <x:v>22.5</x:v>
      </x:c>
      <x:c r="B7" s="186" t="n">
        <x:f>($E7/B$6-'Development'!$B$17)/(1+'Assumptions'!$B$32)</x:f>
        <x:v>3803044.9442401957</x:v>
      </x:c>
      <x:c r="C7" s="186" t="n">
        <x:f>($E7/C$6-'Development'!$B$17)/(1+'Assumptions'!$B$32)</x:f>
        <x:v>3441528.4442401957</x:v>
      </x:c>
      <x:c r="D7" s="186" t="n">
        <x:f>($E7/D$6-'Development'!$B$17)/(1+'Assumptions'!$B$32)</x:f>
        <x:v>3114442.087097339</x:v>
      </x:c>
      <x:c r="E7" s="186" t="n">
        <x:f>($A7*'Assumptions'!$B$6*(1-'Assumptions'!$B$15))+('Assumptions'!$B$14*'Assumptions'!$B$6*(1-'Assumptions'!$B$15))-('Assumptions'!$B$14*'Assumptions'!$B$6)-((($A7*'Assumptions'!$B$6*(1-'Assumptions'!$B$15))+('Assumptions'!$B$14*'Assumptions'!$B$6*(1-'Assumptions'!$B$15))*1)*'Assumptions'!$B$16)-('Assumptions'!$B$17*'Assumptions'!$B$6)</x:f>
        <x:v>350309.4885</x:v>
      </x:c>
    </x:row>
    <x:row r="8">
      <x:c r="A8" s="187" t="n">
        <x:v>25</x:v>
      </x:c>
      <x:c r="B8" s="188" t="n">
        <x:f>($E8/B$6-'Development'!$B$17)/(1+'Assumptions'!$B$32)</x:f>
        <x:v>4632394.944240197</x:v>
      </x:c>
      <x:c r="C8" s="188" t="n">
        <x:f>($E8/C$6-'Development'!$B$17)/(1+'Assumptions'!$B$32)</x:f>
        <x:v>4229410.944240197</x:v>
      </x:c>
      <x:c r="D8" s="188" t="n">
        <x:f>($E8/D$6-'Development'!$B$17)/(1+'Assumptions'!$B$32)</x:f>
        <x:v>3864806.372811626</x:v>
      </x:c>
      <x:c r="E8" s="188" t="n">
        <x:f>($A8*'Assumptions'!$B$6*(1-'Assumptions'!$B$15))+('Assumptions'!$B$14*'Assumptions'!$B$6*(1-'Assumptions'!$B$15))-('Assumptions'!$B$14*'Assumptions'!$B$6)-((($A8*'Assumptions'!$B$6*(1-'Assumptions'!$B$15))+('Assumptions'!$B$14*'Assumptions'!$B$6*(1-'Assumptions'!$B$15))*1)*'Assumptions'!$B$16)-('Assumptions'!$B$17*'Assumptions'!$B$6)</x:f>
        <x:v>390491.49600000004</x:v>
      </x:c>
    </x:row>
    <x:row r="9">
      <x:c r="A9" s="185" t="n">
        <x:v>27.5</x:v>
      </x:c>
      <x:c r="B9" s="186" t="n">
        <x:f>($E9/B$6-'Development'!$B$17)/(1+'Assumptions'!$B$32)</x:f>
        <x:v>5461744.944240198</x:v>
      </x:c>
      <x:c r="C9" s="186" t="n">
        <x:f>($E9/C$6-'Development'!$B$17)/(1+'Assumptions'!$B$32)</x:f>
        <x:v>5017293.444240197</x:v>
      </x:c>
      <x:c r="D9" s="186" t="n">
        <x:f>($E9/D$6-'Development'!$B$17)/(1+'Assumptions'!$B$32)</x:f>
        <x:v>4615170.658525911</x:v>
      </x:c>
      <x:c r="E9" s="186" t="n">
        <x:f>($A9*'Assumptions'!$B$6*(1-'Assumptions'!$B$15))+('Assumptions'!$B$14*'Assumptions'!$B$6*(1-'Assumptions'!$B$15))-('Assumptions'!$B$14*'Assumptions'!$B$6)-((($A9*'Assumptions'!$B$6*(1-'Assumptions'!$B$15))+('Assumptions'!$B$14*'Assumptions'!$B$6*(1-'Assumptions'!$B$15))*1)*'Assumptions'!$B$16)-('Assumptions'!$B$17*'Assumptions'!$B$6)</x:f>
        <x:v>430673.50350000005</x:v>
      </x:c>
    </x:row>
    <x:row r="10">
      <x:c r="A10" s="145"/>
      <x:c r="B10" s="145"/>
      <x:c r="C10" s="145"/>
      <x:c r="D10" s="145"/>
      <x:c r="E10" s="145"/>
    </x:row>
    <x:row r="11">
      <x:c r="A11" s="145"/>
      <x:c r="B11" s="145"/>
      <x:c r="C11" s="145"/>
      <x:c r="D11" s="145"/>
      <x:c r="E11" s="145"/>
    </x:row>
    <x:row r="12">
      <x:c r="A12" s="145"/>
      <x:c r="B12" s="145"/>
      <x:c r="C12" s="145"/>
      <x:c r="D12" s="145"/>
      <x:c r="E12" s="145"/>
    </x:row>
    <x:row r="13" ht="16.5" customHeight="1">
      <x:c r="A13" s="130" t="str">
        <x:v>HARD COST VS. CAP RATE (BASE RENT FIXED AT $25/SF)</x:v>
      </x:c>
      <x:c r="B13" s="145"/>
      <x:c r="C13" s="145"/>
      <x:c r="D13" s="145"/>
      <x:c r="E13" s="145"/>
    </x:row>
    <x:row r="14">
      <x:c r="A14" s="145"/>
      <x:c r="B14" s="145"/>
      <x:c r="C14" s="145"/>
      <x:c r="D14" s="145"/>
      <x:c r="E14" s="145"/>
    </x:row>
    <x:row r="15">
      <x:c r="A15" s="183" t="str">
        <x:v>Hard cost / SF</x:v>
      </x:c>
      <x:c r="B15" s="184" t="n">
        <x:v>0.0475</x:v>
      </x:c>
      <x:c r="C15" s="184" t="n">
        <x:v>0.05</x:v>
      </x:c>
      <x:c r="D15" s="184" t="n">
        <x:v>0.0525</x:v>
      </x:c>
      <x:c r="E15" s="183" t="str">
        <x:v>Dev cost excl. land</x:v>
      </x:c>
    </x:row>
    <x:row r="16">
      <x:c r="A16" s="185" t="n">
        <x:v>135</x:v>
      </x:c>
      <x:c r="B16" s="186" t="n">
        <x:f>('Stabilized NOI'!$B$21/B$15-$E16)/(1+'Assumptions'!$B$32)</x:f>
        <x:v>4949648.572365196</x:v>
      </x:c>
      <x:c r="C16" s="186" t="n">
        <x:f>('Stabilized NOI'!$B$21/C$15-$E16)/(1+'Assumptions'!$B$32)</x:f>
        <x:v>4546664.572365196</x:v>
      </x:c>
      <x:c r="D16" s="186" t="n">
        <x:f>('Stabilized NOI'!$B$21/D$15-$E16)/(1+'Assumptions'!$B$32)</x:f>
        <x:v>4182060.0009366265</x:v>
      </x:c>
      <x:c r="E16" s="186" t="n">
        <x:f>(($A16*'Assumptions'!$B$6)*(1+'Assumptions'!$B$24+'Assumptions'!$B$25+'Assumptions'!$B$26+'Assumptions'!$B$27)+'Assumptions'!$B$28)*(1+'Assumptions'!$B$29*'Assumptions'!$B$30*'Assumptions'!$B$31/24)</x:f>
        <x:v>3172232.0561875</x:v>
      </x:c>
    </x:row>
    <x:row r="17">
      <x:c r="A17" s="187" t="n">
        <x:v>150</x:v>
      </x:c>
      <x:c r="B17" s="188" t="n">
        <x:f>('Stabilized NOI'!$B$21/B$15-$E17)/(1+'Assumptions'!$B$32)</x:f>
        <x:v>4632394.944240197</x:v>
      </x:c>
      <x:c r="C17" s="188" t="n">
        <x:f>('Stabilized NOI'!$B$21/C$15-$E17)/(1+'Assumptions'!$B$32)</x:f>
        <x:v>4229410.944240197</x:v>
      </x:c>
      <x:c r="D17" s="188" t="n">
        <x:f>('Stabilized NOI'!$B$21/D$15-$E17)/(1+'Assumptions'!$B$32)</x:f>
        <x:v>3864806.372811626</x:v>
      </x:c>
      <x:c r="E17" s="188" t="n">
        <x:f>(($A17*'Assumptions'!$B$6)*(1+'Assumptions'!$B$24+'Assumptions'!$B$25+'Assumptions'!$B$26+'Assumptions'!$B$27)+'Assumptions'!$B$28)*(1+'Assumptions'!$B$29*'Assumptions'!$B$30*'Assumptions'!$B$31/24)</x:f>
        <x:v>3495830.756875</x:v>
      </x:c>
    </x:row>
    <x:row r="18">
      <x:c r="A18" s="185" t="n">
        <x:v>165</x:v>
      </x:c>
      <x:c r="B18" s="186" t="n">
        <x:f>('Stabilized NOI'!$B$21/B$15-$E18)/(1+'Assumptions'!$B$32)</x:f>
        <x:v>4315141.316115197</x:v>
      </x:c>
      <x:c r="C18" s="186" t="n">
        <x:f>('Stabilized NOI'!$B$21/C$15-$E18)/(1+'Assumptions'!$B$32)</x:f>
        <x:v>3912157.3161151973</x:v>
      </x:c>
      <x:c r="D18" s="186" t="n">
        <x:f>('Stabilized NOI'!$B$21/D$15-$E18)/(1+'Assumptions'!$B$32)</x:f>
        <x:v>3547552.7446866264</x:v>
      </x:c>
      <x:c r="E18" s="186" t="n">
        <x:f>(($A18*'Assumptions'!$B$6)*(1+'Assumptions'!$B$24+'Assumptions'!$B$25+'Assumptions'!$B$26+'Assumptions'!$B$27)+'Assumptions'!$B$28)*(1+'Assumptions'!$B$29*'Assumptions'!$B$30*'Assumptions'!$B$31/24)</x:f>
        <x:v>3819429.4575624997</x:v>
      </x:c>
    </x:row>
    <x:row r="19">
      <x:c r="A19" s="185" t="n">
        <x:v>200</x:v>
      </x:c>
      <x:c r="B19" s="186" t="n">
        <x:f>('Stabilized NOI'!$B$21/B$15-$E19)/(1+'Assumptions'!$B$32)</x:f>
        <x:v>3574882.850490197</x:v>
      </x:c>
      <x:c r="C19" s="186" t="n">
        <x:f>('Stabilized NOI'!$B$21/C$15-$E19)/(1+'Assumptions'!$B$32)</x:f>
        <x:v>3171898.8504901975</x:v>
      </x:c>
      <x:c r="D19" s="186" t="n">
        <x:f>('Stabilized NOI'!$B$21/D$15-$E19)/(1+'Assumptions'!$B$32)</x:f>
        <x:v>2807294.2790616266</x:v>
      </x:c>
      <x:c r="E19" s="186" t="n">
        <x:f>(($A19*'Assumptions'!$B$6)*(1+'Assumptions'!$B$24+'Assumptions'!$B$25+'Assumptions'!$B$26+'Assumptions'!$B$27)+'Assumptions'!$B$28)*(1+'Assumptions'!$B$29*'Assumptions'!$B$30*'Assumptions'!$B$31/24)</x:f>
        <x:v>4574493.092499999</x:v>
      </x:c>
    </x:row>
    <x:row r="20">
      <x:c r="A20" s="145"/>
      <x:c r="B20" s="145"/>
      <x:c r="C20" s="145"/>
      <x:c r="D20" s="145"/>
      <x:c r="E20" s="145"/>
    </x:row>
    <x:row r="21">
      <x:c r="A21" s="145"/>
      <x:c r="B21" s="145"/>
      <x:c r="C21" s="145"/>
      <x:c r="D21" s="145"/>
      <x:c r="E21" s="145"/>
    </x:row>
    <x:row r="22" ht="16.5" customHeight="1">
      <x:c r="A22" s="130" t="str">
        <x:v>READING THE TABLES</x:v>
      </x:c>
      <x:c r="B22" s="145"/>
      <x:c r="C22" s="145"/>
      <x:c r="D22" s="145"/>
      <x:c r="E22" s="145"/>
    </x:row>
    <x:row r="23" ht="31.5" customHeight="1">
      <x:c r="A23" s="144" t="str">
        <x:v>The current case is highlighted: $25/SF base rent, $150/SF hard cost, and a 5% cap. A lower cap raises the supported land price; higher rent raises it; higher construction cost reduces it.</x:v>
      </x:c>
      <x:c r="B23" s="144"/>
      <x:c r="C23" s="144"/>
      <x:c r="D23" s="144"/>
      <x:c r="E23" s="144"/>
    </x:row>
  </x:sheetData>
  <x:mergeCells>
    <x:mergeCell ref="A1:K1"/>
    <x:mergeCell ref="A2:K2"/>
    <x:mergeCell ref="A4:E4"/>
    <x:mergeCell ref="A13:E13"/>
    <x:mergeCell ref="A22:E22"/>
    <x:mergeCell ref="A23:E23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3.88999938964844" hidden="0" customWidth="1"/>
    <x:col min="2" max="2" width="15" hidden="0" customWidth="1"/>
    <x:col min="3" max="3" width="15" hidden="0" customWidth="1"/>
    <x:col min="4" max="4" width="13.329999923706055" hidden="0" customWidth="1"/>
    <x:col min="5" max="5" width="11.109999656677246" hidden="0" customWidth="1"/>
    <x:col min="6" max="6" width="10.5600004196167" hidden="0" customWidth="1"/>
    <x:col min="7" max="7" width="40" hidden="0" customWidth="1"/>
  </x:cols>
  <x:sheetData>
    <x:row r="1" ht="25.5" customHeight="1">
      <x:c r="A1" s="127" t="str">
        <x:v>New Wetlands - Model Checks</x:v>
      </x:c>
      <x:c r="B1" s="145"/>
      <x:c r="C1" s="145"/>
      <x:c r="D1" s="145"/>
      <x:c r="E1" s="145"/>
      <x:c r="F1" s="145"/>
      <x:c r="G1" s="145"/>
    </x:row>
    <x:row r="2" ht="18" customHeight="1">
      <x:c r="A2" s="129" t="str">
        <x:v>One assertion per row; all checks must read OK before delivery</x:v>
      </x:c>
      <x:c r="B2" s="145"/>
      <x:c r="C2" s="145"/>
      <x:c r="D2" s="145"/>
      <x:c r="E2" s="145"/>
      <x:c r="F2" s="145"/>
      <x:c r="G2" s="145"/>
    </x:row>
    <x:row r="3">
      <x:c r="A3" s="145"/>
      <x:c r="B3" s="145"/>
      <x:c r="C3" s="145"/>
      <x:c r="D3" s="145"/>
      <x:c r="E3" s="145"/>
      <x:c r="F3" s="145"/>
      <x:c r="G3" s="145"/>
    </x:row>
    <x:row r="4">
      <x:c r="A4" s="215" t="str">
        <x:v>Check</x:v>
      </x:c>
      <x:c r="B4" s="215" t="str">
        <x:v>Actual</x:v>
      </x:c>
      <x:c r="C4" s="215" t="str">
        <x:v>Expected</x:v>
      </x:c>
      <x:c r="D4" s="215" t="str">
        <x:v>Difference</x:v>
      </x:c>
      <x:c r="E4" s="215" t="str">
        <x:v>Tolerance</x:v>
      </x:c>
      <x:c r="F4" s="215" t="str">
        <x:v>Status</x:v>
      </x:c>
      <x:c r="G4" s="215" t="str">
        <x:v>Notes</x:v>
      </x:c>
    </x:row>
    <x:row r="5">
      <x:c r="A5" s="216" t="str">
        <x:v>Two-year phase months tie</x:v>
      </x:c>
      <x:c r="B5" s="217" t="n">
        <x:f>SUM('Assumptions'!B36:B38)</x:f>
        <x:v>24</x:v>
      </x:c>
      <x:c r="C5" s="217" t="n">
        <x:f>'Assumptions'!B33</x:f>
        <x:v>24</x:v>
      </x:c>
      <x:c r="D5" s="218" t="n">
        <x:f>B5-C5</x:f>
        <x:v>0</x:v>
      </x:c>
      <x:c r="E5" s="219" t="n">
        <x:v>0</x:v>
      </x:c>
      <x:c r="F5" s="220" t="str">
        <x:f>IF(ABS(D5)&lt;=E5,"OK","CHECK")</x:f>
        <x:v>OK</x:v>
      </x:c>
      <x:c r="G5" s="221" t="str">
        <x:v>Pre-development + construction + lease-up = 24 months</x:v>
      </x:c>
    </x:row>
    <x:row r="6">
      <x:c r="A6" s="222" t="str">
        <x:v>NNN expenses tie to billed recoveries</x:v>
      </x:c>
      <x:c r="B6" s="223" t="n">
        <x:f>'Stabilized NOI'!B9</x:f>
        <x:v>122094</x:v>
      </x:c>
      <x:c r="C6" s="223" t="n">
        <x:f>-'Stabilized NOI'!B15</x:f>
        <x:v>122094</x:v>
      </x:c>
      <x:c r="D6" s="224" t="n">
        <x:f>B6-C6</x:f>
        <x:v>0</x:v>
      </x:c>
      <x:c r="E6" s="225" t="n">
        <x:v>1</x:v>
      </x:c>
      <x:c r="F6" s="226" t="str">
        <x:f>IF(ABS(D6)&lt;=E6,"OK","CHECK")</x:f>
        <x:v>OK</x:v>
      </x:c>
      <x:c r="G6" s="227" t="str">
        <x:v>Prevents double-counting or missing pass-through expenses</x:v>
      </x:c>
    </x:row>
    <x:row r="7">
      <x:c r="A7" s="222" t="str">
        <x:v>NOI ties to EGI plus operating expenses</x:v>
      </x:c>
      <x:c r="B7" s="223" t="n">
        <x:f>'Stabilized NOI'!B21</x:f>
        <x:v>390491.49600000004</x:v>
      </x:c>
      <x:c r="C7" s="223" t="n">
        <x:f>'Stabilized NOI'!B12+'Stabilized NOI'!B18</x:f>
        <x:v>390491.49600000004</x:v>
      </x:c>
      <x:c r="D7" s="224" t="n">
        <x:f>B7-C7</x:f>
        <x:v>0</x:v>
      </x:c>
      <x:c r="E7" s="225" t="n">
        <x:v>1</x:v>
      </x:c>
      <x:c r="F7" s="226" t="str">
        <x:f>IF(ABS(D7)&lt;=E7,"OK","CHECK")</x:f>
        <x:v>OK</x:v>
      </x:c>
      <x:c r="G7" s="227" t="str">
        <x:v>Stabilized operating model tie-out</x:v>
      </x:c>
    </x:row>
    <x:row r="8">
      <x:c r="A8" s="222" t="str">
        <x:v>Supported price produces 5.0% cap-equivalent yield</x:v>
      </x:c>
      <x:c r="B8" s="228" t="n">
        <x:f>'Stabilized NOI'!B21/('Summary'!B5*(1+'Assumptions'!B32)+'Development'!B17)</x:f>
        <x:v>0.05</x:v>
      </x:c>
      <x:c r="C8" s="228" t="n">
        <x:f>'Assumptions'!B18</x:f>
        <x:v>0.05</x:v>
      </x:c>
      <x:c r="D8" s="229" t="n">
        <x:f>B8-C8</x:f>
        <x:v>0</x:v>
      </x:c>
      <x:c r="E8" s="225" t="n">
        <x:v>0.00001</x:v>
      </x:c>
      <x:c r="F8" s="226" t="str">
        <x:f>IF(ABS(D8)&lt;=E8,"OK","CHECK")</x:f>
        <x:v>OK</x:v>
      </x:c>
      <x:c r="G8" s="227" t="str">
        <x:v>Backsolved residual land price check</x:v>
      </x:c>
    </x:row>
    <x:row r="9">
      <x:c r="A9" s="222" t="str">
        <x:v>Later agreed hard cost is used</x:v>
      </x:c>
      <x:c r="B9" s="230" t="n">
        <x:f>'Assumptions'!B23</x:f>
        <x:v>150</x:v>
      </x:c>
      <x:c r="C9" s="225" t="n">
        <x:v>150</x:v>
      </x:c>
      <x:c r="D9" s="231" t="n">
        <x:f>B9-C9</x:f>
        <x:v>0</x:v>
      </x:c>
      <x:c r="E9" s="225" t="n">
        <x:v>0</x:v>
      </x:c>
      <x:c r="F9" s="226" t="str">
        <x:f>IF(ABS(D9)&lt;=E9,"OK","CHECK")</x:f>
        <x:v>OK</x:v>
      </x:c>
      <x:c r="G9" s="227" t="str">
        <x:v>$150/SF supersedes earlier $200/SF shortcut</x:v>
      </x:c>
    </x:row>
    <x:row r="10">
      <x:c r="A10" s="222" t="str">
        <x:v>Building SF matches controlling basis</x:v>
      </x:c>
      <x:c r="B10" s="232" t="n">
        <x:f>'Assumptions'!B6</x:f>
        <x:v>17442</x:v>
      </x:c>
      <x:c r="C10" s="225" t="n">
        <x:v>17442</x:v>
      </x:c>
      <x:c r="D10" s="233" t="n">
        <x:f>B10-C10</x:f>
        <x:v>0</x:v>
      </x:c>
      <x:c r="E10" s="225" t="n">
        <x:v>0</x:v>
      </x:c>
      <x:c r="F10" s="226" t="str">
        <x:f>IF(ABS(D10)&lt;=E10,"OK","CHECK")</x:f>
        <x:v>OK</x:v>
      </x:c>
      <x:c r="G10" s="227" t="str">
        <x:v>Area Memory and current task</x:v>
      </x:c>
    </x:row>
    <x:row r="11">
      <x:c r="A11" s="234" t="str">
        <x:v>Parcel SF matches controlling basis</x:v>
      </x:c>
      <x:c r="B11" s="235" t="n">
        <x:f>'Assumptions'!B5</x:f>
        <x:v>41363</x:v>
      </x:c>
      <x:c r="C11" s="236" t="n">
        <x:v>41363</x:v>
      </x:c>
      <x:c r="D11" s="237" t="n">
        <x:f>B11-C11</x:f>
        <x:v>0</x:v>
      </x:c>
      <x:c r="E11" s="236" t="n">
        <x:v>0</x:v>
      </x:c>
      <x:c r="F11" s="238" t="str">
        <x:f>IF(ABS(D11)&lt;=E11,"OK","CHECK")</x:f>
        <x:v>OK</x:v>
      </x:c>
      <x:c r="G11" s="239" t="str">
        <x:v>Pinned by EJ on 8/12</x:v>
      </x:c>
    </x:row>
    <x:row r="12">
      <x:c r="A12" s="145"/>
      <x:c r="B12" s="145"/>
      <x:c r="C12" s="145"/>
      <x:c r="D12" s="145"/>
      <x:c r="E12" s="145"/>
      <x:c r="F12" s="145"/>
      <x:c r="G12" s="145"/>
    </x:row>
    <x:row r="13" ht="16.5" customHeight="1">
      <x:c r="A13" s="130" t="str">
        <x:v>MODEL STATUS</x:v>
      </x:c>
      <x:c r="B13" s="145"/>
      <x:c r="C13" s="145"/>
      <x:c r="D13" s="145"/>
      <x:c r="E13" s="145"/>
      <x:c r="F13" s="145"/>
      <x:c r="G13" s="145"/>
    </x:row>
    <x:row r="14">
      <x:c r="A14" s="145" t="str">
        <x:v>Overall status</x:v>
      </x:c>
      <x:c r="B14" s="240" t="str">
        <x:f>IF(AND(F5="OK",F6="OK",F7="OK",F8="OK",F9="OK",F10="OK",F11="OK"),"OK","CHECK")</x:f>
        <x:v>OK</x:v>
      </x:c>
      <x:c r="C14" s="145"/>
      <x:c r="D14" s="145"/>
      <x:c r="E14" s="145"/>
      <x:c r="F14" s="145"/>
      <x:c r="G14" s="145"/>
    </x:row>
  </x:sheetData>
  <x:mergeCells>
    <x:mergeCell ref="A1:G1"/>
    <x:mergeCell ref="A2:G2"/>
    <x:mergeCell ref="A13:G13"/>
  </x:mergeCells>
  <x:conditionalFormatting sqref="F5:F11">
    <x:cfRule type="containsText" dxfId="0" priority="1" operator="containsText" text="OK"/>
    <x:cfRule type="containsText" dxfId="1" priority="2" operator="containsText" text="CHECK"/>
  </x:conditionalFormatting>
  <x:pageMargins left="0.7" right="0.7" top="0.75" bottom="0.75" header="0.3" footer="0.3"/>
</x:worksheet>
</file>